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480" windowHeight="11640"/>
  </bookViews>
  <sheets>
    <sheet name="UPC" sheetId="11" r:id="rId1"/>
    <sheet name="UPC genere" sheetId="23" r:id="rId2"/>
  </sheets>
  <definedNames>
    <definedName name="_xlnm.Print_Area" localSheetId="1">'UPC genere'!$A$1:$R$150</definedName>
  </definedNames>
  <calcPr calcId="125725"/>
</workbook>
</file>

<file path=xl/calcChain.xml><?xml version="1.0" encoding="utf-8"?>
<calcChain xmlns="http://schemas.openxmlformats.org/spreadsheetml/2006/main">
  <c r="H144" i="11"/>
  <c r="H143"/>
  <c r="H142"/>
  <c r="H141"/>
  <c r="H140"/>
  <c r="H139"/>
  <c r="H138"/>
  <c r="H137"/>
  <c r="K144" i="23"/>
  <c r="J144" s="1"/>
  <c r="I143"/>
  <c r="G143"/>
  <c r="I142"/>
  <c r="G142"/>
  <c r="I141"/>
  <c r="G141"/>
  <c r="I140"/>
  <c r="G140"/>
  <c r="I139"/>
  <c r="G139"/>
  <c r="I138"/>
  <c r="G138"/>
  <c r="I137"/>
  <c r="G137"/>
  <c r="H119" i="11"/>
  <c r="H118"/>
  <c r="H117"/>
  <c r="H116"/>
  <c r="H115"/>
  <c r="H114"/>
  <c r="H113"/>
  <c r="H112"/>
  <c r="H111"/>
  <c r="H119" i="23"/>
  <c r="K119"/>
  <c r="J119" s="1"/>
  <c r="G118"/>
  <c r="I118"/>
  <c r="I117"/>
  <c r="G117"/>
  <c r="I116"/>
  <c r="G116"/>
  <c r="I115"/>
  <c r="G115"/>
  <c r="I114"/>
  <c r="G114"/>
  <c r="G113"/>
  <c r="I113"/>
  <c r="I112"/>
  <c r="G112"/>
  <c r="I111"/>
  <c r="G111"/>
  <c r="H104" i="11"/>
  <c r="H103"/>
  <c r="H102"/>
  <c r="H101"/>
  <c r="H100"/>
  <c r="H95"/>
  <c r="H94"/>
  <c r="H93"/>
  <c r="H92"/>
  <c r="H91"/>
  <c r="K95" i="23"/>
  <c r="H95" s="1"/>
  <c r="K91"/>
  <c r="J91" s="1"/>
  <c r="I94"/>
  <c r="G94"/>
  <c r="I93"/>
  <c r="G93"/>
  <c r="I92"/>
  <c r="G92"/>
  <c r="I105"/>
  <c r="I104"/>
  <c r="G104"/>
  <c r="I103"/>
  <c r="K103" s="1"/>
  <c r="J103" s="1"/>
  <c r="G103"/>
  <c r="I102"/>
  <c r="G102"/>
  <c r="I101"/>
  <c r="K101" s="1"/>
  <c r="J101" s="1"/>
  <c r="G101"/>
  <c r="I100"/>
  <c r="G100"/>
  <c r="I99"/>
  <c r="K99" s="1"/>
  <c r="J99" s="1"/>
  <c r="G99"/>
  <c r="H71" i="11"/>
  <c r="H70"/>
  <c r="H69"/>
  <c r="H68"/>
  <c r="H67"/>
  <c r="H66"/>
  <c r="H65"/>
  <c r="H63"/>
  <c r="H62"/>
  <c r="H71" i="23"/>
  <c r="I70"/>
  <c r="G70"/>
  <c r="I69"/>
  <c r="G69"/>
  <c r="I68"/>
  <c r="G68"/>
  <c r="I67"/>
  <c r="G67"/>
  <c r="I66"/>
  <c r="G66"/>
  <c r="I65"/>
  <c r="G65"/>
  <c r="I63"/>
  <c r="G63"/>
  <c r="I62"/>
  <c r="G62"/>
  <c r="H56" i="11"/>
  <c r="H55"/>
  <c r="H54"/>
  <c r="H53"/>
  <c r="K56" i="23"/>
  <c r="J56" s="1"/>
  <c r="I55"/>
  <c r="G55"/>
  <c r="I54"/>
  <c r="G54"/>
  <c r="I53"/>
  <c r="G53"/>
  <c r="H47" i="11"/>
  <c r="H46"/>
  <c r="H45"/>
  <c r="H44"/>
  <c r="H42"/>
  <c r="H41"/>
  <c r="I47" i="23"/>
  <c r="G47"/>
  <c r="I46"/>
  <c r="G46"/>
  <c r="I45"/>
  <c r="G45"/>
  <c r="I44"/>
  <c r="G44"/>
  <c r="I42"/>
  <c r="G42"/>
  <c r="I41"/>
  <c r="G41"/>
  <c r="K34"/>
  <c r="H34" s="1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G105"/>
  <c r="M15"/>
  <c r="K15"/>
  <c r="I15"/>
  <c r="G15"/>
  <c r="I10"/>
  <c r="G10"/>
  <c r="H34" i="11"/>
  <c r="G33"/>
  <c r="G32"/>
  <c r="G31"/>
  <c r="G30"/>
  <c r="G29"/>
  <c r="G28"/>
  <c r="G27"/>
  <c r="G26"/>
  <c r="G25"/>
  <c r="G24"/>
  <c r="H33"/>
  <c r="H32"/>
  <c r="H31"/>
  <c r="H30"/>
  <c r="H29"/>
  <c r="H28"/>
  <c r="H27"/>
  <c r="H26"/>
  <c r="H25"/>
  <c r="H24"/>
  <c r="H15"/>
  <c r="J15"/>
  <c r="L15"/>
  <c r="N15"/>
  <c r="M15"/>
  <c r="K15"/>
  <c r="I15"/>
  <c r="G15"/>
  <c r="Q15" s="1"/>
  <c r="I10"/>
  <c r="G10"/>
  <c r="M10" s="1"/>
  <c r="L10" s="1"/>
  <c r="H99" i="23" l="1"/>
  <c r="H101"/>
  <c r="H103"/>
  <c r="K100"/>
  <c r="H100" s="1"/>
  <c r="K102"/>
  <c r="H102" s="1"/>
  <c r="K104"/>
  <c r="H104" s="1"/>
  <c r="K93"/>
  <c r="J93" s="1"/>
  <c r="H91"/>
  <c r="J95"/>
  <c r="K112"/>
  <c r="J112" s="1"/>
  <c r="K114"/>
  <c r="J114" s="1"/>
  <c r="K116"/>
  <c r="H116" s="1"/>
  <c r="K118"/>
  <c r="J118" s="1"/>
  <c r="K138"/>
  <c r="H138" s="1"/>
  <c r="K140"/>
  <c r="H140" s="1"/>
  <c r="K142"/>
  <c r="H142" s="1"/>
  <c r="H144"/>
  <c r="M10"/>
  <c r="Q15"/>
  <c r="K65"/>
  <c r="J65" s="1"/>
  <c r="K66"/>
  <c r="J66" s="1"/>
  <c r="K67"/>
  <c r="J67" s="1"/>
  <c r="K68"/>
  <c r="J68" s="1"/>
  <c r="K69"/>
  <c r="J69" s="1"/>
  <c r="K70"/>
  <c r="J70" s="1"/>
  <c r="K105"/>
  <c r="H105" s="1"/>
  <c r="K92"/>
  <c r="J92" s="1"/>
  <c r="K94"/>
  <c r="H94" s="1"/>
  <c r="K111"/>
  <c r="H111" s="1"/>
  <c r="K113"/>
  <c r="H113" s="1"/>
  <c r="K115"/>
  <c r="H115" s="1"/>
  <c r="K117"/>
  <c r="H117" s="1"/>
  <c r="K137"/>
  <c r="H137" s="1"/>
  <c r="K139"/>
  <c r="H139" s="1"/>
  <c r="K141"/>
  <c r="H141" s="1"/>
  <c r="K143"/>
  <c r="H143" s="1"/>
  <c r="K24"/>
  <c r="H24" s="1"/>
  <c r="K26"/>
  <c r="H26" s="1"/>
  <c r="K28"/>
  <c r="H28" s="1"/>
  <c r="K30"/>
  <c r="H30" s="1"/>
  <c r="K32"/>
  <c r="H32" s="1"/>
  <c r="J34"/>
  <c r="K42"/>
  <c r="H42" s="1"/>
  <c r="K45"/>
  <c r="H45" s="1"/>
  <c r="K47"/>
  <c r="H47" s="1"/>
  <c r="K54"/>
  <c r="H54" s="1"/>
  <c r="H56"/>
  <c r="K63"/>
  <c r="H63" s="1"/>
  <c r="K25"/>
  <c r="J25" s="1"/>
  <c r="K27"/>
  <c r="J27" s="1"/>
  <c r="K29"/>
  <c r="J29" s="1"/>
  <c r="K31"/>
  <c r="J31" s="1"/>
  <c r="K33"/>
  <c r="J33" s="1"/>
  <c r="K41"/>
  <c r="J41" s="1"/>
  <c r="K44"/>
  <c r="J44" s="1"/>
  <c r="K46"/>
  <c r="J46" s="1"/>
  <c r="K53"/>
  <c r="J53" s="1"/>
  <c r="K55"/>
  <c r="J55" s="1"/>
  <c r="K62"/>
  <c r="J62" s="1"/>
  <c r="H66"/>
  <c r="H68"/>
  <c r="H70"/>
  <c r="H65"/>
  <c r="H67"/>
  <c r="H69"/>
  <c r="J10"/>
  <c r="H10"/>
  <c r="H15"/>
  <c r="J15"/>
  <c r="L15"/>
  <c r="N15"/>
  <c r="L10"/>
  <c r="P15"/>
  <c r="P15" i="11"/>
  <c r="J10"/>
  <c r="H105"/>
  <c r="H10"/>
  <c r="J143" i="23" l="1"/>
  <c r="J141"/>
  <c r="J139"/>
  <c r="J137"/>
  <c r="H114"/>
  <c r="H112"/>
  <c r="H93"/>
  <c r="J104"/>
  <c r="J100"/>
  <c r="H118"/>
  <c r="J116"/>
  <c r="J94"/>
  <c r="J105"/>
  <c r="J142"/>
  <c r="J140"/>
  <c r="J138"/>
  <c r="J113"/>
  <c r="H92"/>
  <c r="J102"/>
  <c r="J117"/>
  <c r="J115"/>
  <c r="J111"/>
  <c r="H62"/>
  <c r="J54"/>
  <c r="J47"/>
  <c r="J45"/>
  <c r="J42"/>
  <c r="H33"/>
  <c r="H31"/>
  <c r="H29"/>
  <c r="H27"/>
  <c r="H25"/>
  <c r="J63"/>
  <c r="H55"/>
  <c r="H53"/>
  <c r="H46"/>
  <c r="H44"/>
  <c r="H41"/>
  <c r="J32"/>
  <c r="J30"/>
  <c r="J28"/>
  <c r="J26"/>
  <c r="J24"/>
  <c r="H99" i="11"/>
</calcChain>
</file>

<file path=xl/sharedStrings.xml><?xml version="1.0" encoding="utf-8"?>
<sst xmlns="http://schemas.openxmlformats.org/spreadsheetml/2006/main" count="303" uniqueCount="101">
  <si>
    <t>Titulació</t>
  </si>
  <si>
    <t>TOTAL</t>
  </si>
  <si>
    <t>Gènere</t>
  </si>
  <si>
    <t>Noi</t>
  </si>
  <si>
    <t>Noia</t>
  </si>
  <si>
    <t>Estudis cursats</t>
  </si>
  <si>
    <t>BC</t>
  </si>
  <si>
    <t>BT</t>
  </si>
  <si>
    <t>CFGS</t>
  </si>
  <si>
    <t>Altres</t>
  </si>
  <si>
    <t>Indica quin mitjà de transport tens previst utilitzar / utilitzes habitualment per accedir al teu Campus:</t>
  </si>
  <si>
    <t>(pots marcar més d'una opció)</t>
  </si>
  <si>
    <t>Autobús urbà</t>
  </si>
  <si>
    <t>Autobús interurbà</t>
  </si>
  <si>
    <t>Metro</t>
  </si>
  <si>
    <t>Tramvia</t>
  </si>
  <si>
    <t>Ferrocarrils (FGC)</t>
  </si>
  <si>
    <t>RENFE</t>
  </si>
  <si>
    <t>Cotxe</t>
  </si>
  <si>
    <t>Moto</t>
  </si>
  <si>
    <t>Bicicleta</t>
  </si>
  <si>
    <t>A peu (si els desplaçaments superen els 5 min)</t>
  </si>
  <si>
    <t>Respostes</t>
  </si>
  <si>
    <t>%</t>
  </si>
  <si>
    <t>2. Quan vas decidir que faries aquests estudis?</t>
  </si>
  <si>
    <t>3. Per què has triat aquesta escola/facultat per cursar aquests estudis?</t>
  </si>
  <si>
    <t>4. Valora el grau d’informació que tens dels estudis en què t’has matriculat:</t>
  </si>
  <si>
    <t>5. Com has obtingut informació de la UPC?</t>
  </si>
  <si>
    <t xml:space="preserve">5.1. Has participat en activitats de promoció dels estudis de la UPC? </t>
  </si>
  <si>
    <t xml:space="preserve">5.2. Quins canals has utilitzat per informar-te? </t>
  </si>
  <si>
    <t>6. Valora el grau d'informació que tens dels canvis que significa el nou Espai Europeu d’Educació Superior (Pla Bolonya) en relació a:</t>
  </si>
  <si>
    <t xml:space="preserve">7. Com has obtingut informació de l’Espai Europeu d’Educació Superior (Pla Bolonya)? </t>
  </si>
  <si>
    <t>Són els estudis que m'agraden més</t>
  </si>
  <si>
    <t>Són estudis amb una bona sortida laboral</t>
  </si>
  <si>
    <t>Me'ls han recomanat:</t>
  </si>
  <si>
    <t>Des de sempre els he volgut fer</t>
  </si>
  <si>
    <t>Ho vaig decidir en el moment de triar l'opció universitaria</t>
  </si>
  <si>
    <t>Crec que és la millor en aquests estudis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</si>
  <si>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</si>
  <si>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</si>
  <si>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</si>
  <si>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</si>
  <si>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 xml:space="preserve"> 1 Cap informació  - 5 Molta informació</t>
  </si>
  <si>
    <t>Mitjana</t>
  </si>
  <si>
    <t>NS/NC</t>
  </si>
  <si>
    <t>Pla d'estudis</t>
  </si>
  <si>
    <t>Nivell d'exigència</t>
  </si>
  <si>
    <t>Nivell de dedicació</t>
  </si>
  <si>
    <t>Normativa d'estudis</t>
  </si>
  <si>
    <t>Possibilitat de cursar part de la formació en una universitat estrangera</t>
  </si>
  <si>
    <t>Sortides professionals</t>
  </si>
  <si>
    <t>Jornades de Portes Obertes o visites als campus i centres de:</t>
  </si>
  <si>
    <t>Saló de l'Ensenyament o altres fires</t>
  </si>
  <si>
    <t>Sessions informatives d'estudiantat o altres fires</t>
  </si>
  <si>
    <t>Barcelona</t>
  </si>
  <si>
    <t>Baix Llobregat (Castelldefels)</t>
  </si>
  <si>
    <t>Manresa</t>
  </si>
  <si>
    <t>Sant Cugat del Vallès</t>
  </si>
  <si>
    <t>Terrassa</t>
  </si>
  <si>
    <t>Vilanova i la Geltrú</t>
  </si>
  <si>
    <t>Total</t>
  </si>
  <si>
    <t>Web de la UPC</t>
  </si>
  <si>
    <t>Portal La Politècnica (Informació i orientació per a l'estudiantat de secundària)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</si>
  <si>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</si>
  <si>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</si>
  <si>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</si>
  <si>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</si>
  <si>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</si>
  <si>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Objectius del Pla Bolonya</t>
  </si>
  <si>
    <t>Nova estructura dels estudis</t>
  </si>
  <si>
    <t>Crèdits ECTS</t>
  </si>
  <si>
    <t>Nou model d'aprenentatge</t>
  </si>
  <si>
    <t>Competències</t>
  </si>
  <si>
    <t>Suplement Europeu al Títol</t>
  </si>
  <si>
    <t>Mitjans de comunicació (premsa, ràdio, televisió)</t>
  </si>
  <si>
    <t>Centre de secundària</t>
  </si>
  <si>
    <t>BC: Batxillerat Científic; BT: Batxillerat Tecnològic; CFGS: Cicles Formatius de Grau Superior</t>
  </si>
  <si>
    <r>
      <rPr>
        <b/>
        <sz val="10"/>
        <color theme="5" tint="-0.249977111117893"/>
        <rFont val="Verdana"/>
        <family val="2"/>
      </rPr>
      <t>1. Per què has escollit els estudis en què t’has matriculat?</t>
    </r>
    <r>
      <rPr>
        <sz val="10"/>
        <color theme="5" tint="-0.249977111117893"/>
        <rFont val="Verdana"/>
        <family val="2"/>
      </rPr>
      <t xml:space="preserve">
(pots marcar més d'una opció)</t>
    </r>
  </si>
  <si>
    <t xml:space="preserve">     Me'ls ha recomanat la família</t>
  </si>
  <si>
    <t xml:space="preserve">     Me'ls han recomanat les amistats</t>
  </si>
  <si>
    <t xml:space="preserve">     Me'ls ha recomanat el professorat</t>
  </si>
  <si>
    <t xml:space="preserve">     Me l'ha recomanat la família</t>
  </si>
  <si>
    <t xml:space="preserve">     Me l'han recomanat les amistats</t>
  </si>
  <si>
    <t xml:space="preserve">     Me l'ha recomanat el professorat</t>
  </si>
  <si>
    <t>DADES GENERALS</t>
  </si>
  <si>
    <t xml:space="preserve">Visites a Campus 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</si>
  <si>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2009-2010</t>
    </r>
  </si>
  <si>
    <t>% (*)</t>
  </si>
  <si>
    <t>-</t>
  </si>
  <si>
    <t>Gabinet de Planificació, Avaluació i Qualitat</t>
  </si>
  <si>
    <t>Internet - Cercadors (Google, Yahoo, altres)</t>
  </si>
  <si>
    <t>UPC</t>
  </si>
  <si>
    <t>DADES GLOBALS PER LA UPC segons gènere</t>
  </si>
  <si>
    <t>Nois</t>
  </si>
  <si>
    <t>Noies</t>
  </si>
  <si>
    <t>Ho vaig decidir en el moment de triar l'opció universitària</t>
  </si>
  <si>
    <t>Mitjana
Homes</t>
  </si>
  <si>
    <t>Mitjana
Dones</t>
  </si>
  <si>
    <t>(*) Percentatges respecte el total de respostes (3.496)</t>
  </si>
  <si>
    <t>16 d'octubre de 2009</t>
  </si>
  <si>
    <t>DADES GLOBALS DE LA UPC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</si>
</sst>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indexed="10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10"/>
      <color theme="5" tint="-0.249977111117893"/>
      <name val="Verdana"/>
      <family val="2"/>
    </font>
    <font>
      <b/>
      <sz val="10"/>
      <color theme="5" tint="-0.249977111117893"/>
      <name val="Verdana"/>
      <family val="2"/>
    </font>
    <font>
      <b/>
      <sz val="12"/>
      <color theme="0"/>
      <name val="Verdana"/>
      <family val="2"/>
    </font>
    <font>
      <sz val="9"/>
      <color theme="1"/>
      <name val="Verdana"/>
      <family val="2"/>
    </font>
    <font>
      <b/>
      <sz val="10"/>
      <color theme="9" tint="-0.499984740745262"/>
      <name val="Verdana"/>
      <family val="2"/>
    </font>
    <font>
      <u/>
      <sz val="10"/>
      <color theme="1"/>
      <name val="Verdana"/>
      <family val="2"/>
    </font>
    <font>
      <u/>
      <sz val="10"/>
      <name val="Verdana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" fontId="5" fillId="3" borderId="1" xfId="2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5" fillId="3" borderId="0" xfId="2" applyNumberFormat="1" applyFont="1" applyFill="1" applyBorder="1" applyAlignment="1">
      <alignment vertical="center" wrapText="1"/>
    </xf>
    <xf numFmtId="3" fontId="5" fillId="3" borderId="0" xfId="2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3" fontId="5" fillId="3" borderId="1" xfId="2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center" vertical="center"/>
    </xf>
    <xf numFmtId="2" fontId="4" fillId="2" borderId="0" xfId="2" applyNumberFormat="1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3" borderId="0" xfId="2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164" fontId="3" fillId="0" borderId="4" xfId="1" applyNumberFormat="1" applyFont="1" applyBorder="1" applyAlignment="1">
      <alignment horizontal="center" vertical="center"/>
    </xf>
    <xf numFmtId="3" fontId="5" fillId="3" borderId="8" xfId="2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3" fillId="0" borderId="0" xfId="0" applyFont="1"/>
    <xf numFmtId="0" fontId="8" fillId="7" borderId="2" xfId="0" applyFont="1" applyFill="1" applyBorder="1" applyAlignment="1">
      <alignment horizontal="center" vertical="center"/>
    </xf>
    <xf numFmtId="164" fontId="8" fillId="7" borderId="7" xfId="1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" fontId="5" fillId="3" borderId="0" xfId="2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6" fillId="3" borderId="0" xfId="2" applyNumberFormat="1" applyFont="1" applyFill="1" applyBorder="1" applyAlignment="1">
      <alignment vertical="center" wrapText="1"/>
    </xf>
    <xf numFmtId="1" fontId="3" fillId="0" borderId="0" xfId="0" applyNumberFormat="1" applyFont="1" applyAlignment="1">
      <alignment vertical="center"/>
    </xf>
    <xf numFmtId="0" fontId="15" fillId="0" borderId="0" xfId="0" applyFont="1"/>
    <xf numFmtId="0" fontId="15" fillId="2" borderId="0" xfId="0" applyFont="1" applyFill="1" applyBorder="1" applyAlignment="1">
      <alignment horizontal="center" vertical="center"/>
    </xf>
    <xf numFmtId="1" fontId="3" fillId="0" borderId="0" xfId="0" applyNumberFormat="1" applyFont="1"/>
    <xf numFmtId="1" fontId="15" fillId="0" borderId="0" xfId="0" applyNumberFormat="1" applyFont="1"/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" fontId="5" fillId="3" borderId="0" xfId="2" applyNumberFormat="1" applyFont="1" applyFill="1" applyBorder="1" applyAlignment="1">
      <alignment horizontal="center" vertical="center" wrapText="1"/>
    </xf>
    <xf numFmtId="4" fontId="16" fillId="3" borderId="0" xfId="2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3" fontId="8" fillId="7" borderId="2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164" fontId="8" fillId="6" borderId="0" xfId="1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3" fontId="5" fillId="3" borderId="10" xfId="2" applyNumberFormat="1" applyFont="1" applyFill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/>
    </xf>
    <xf numFmtId="3" fontId="5" fillId="3" borderId="2" xfId="2" applyNumberFormat="1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/>
    <xf numFmtId="0" fontId="5" fillId="2" borderId="2" xfId="2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1" fontId="5" fillId="9" borderId="0" xfId="2" applyNumberFormat="1" applyFont="1" applyFill="1" applyBorder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2" fontId="5" fillId="2" borderId="1" xfId="2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vertical="center"/>
    </xf>
    <xf numFmtId="0" fontId="8" fillId="0" borderId="4" xfId="0" applyFont="1" applyBorder="1"/>
  </cellXfs>
  <cellStyles count="4">
    <cellStyle name="Normal" xfId="0" builtinId="0"/>
    <cellStyle name="Normal_200_freq" xfId="2"/>
    <cellStyle name="Percentual" xfId="1" builtinId="5"/>
    <cellStyle name="Percentu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90</xdr:row>
      <xdr:rowOff>133350</xdr:rowOff>
    </xdr:from>
    <xdr:to>
      <xdr:col>1</xdr:col>
      <xdr:colOff>771525</xdr:colOff>
      <xdr:row>90</xdr:row>
      <xdr:rowOff>134938</xdr:rowOff>
    </xdr:to>
    <xdr:cxnSp macro="">
      <xdr:nvCxnSpPr>
        <xdr:cNvPr id="2" name="Connector recte 1"/>
        <xdr:cNvCxnSpPr/>
      </xdr:nvCxnSpPr>
      <xdr:spPr>
        <a:xfrm>
          <a:off x="609600" y="19145250"/>
          <a:ext cx="5048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90</xdr:row>
      <xdr:rowOff>123826</xdr:rowOff>
    </xdr:from>
    <xdr:to>
      <xdr:col>1</xdr:col>
      <xdr:colOff>266700</xdr:colOff>
      <xdr:row>97</xdr:row>
      <xdr:rowOff>114301</xdr:rowOff>
    </xdr:to>
    <xdr:cxnSp macro="">
      <xdr:nvCxnSpPr>
        <xdr:cNvPr id="3" name="Connector recte 2"/>
        <xdr:cNvCxnSpPr/>
      </xdr:nvCxnSpPr>
      <xdr:spPr>
        <a:xfrm rot="5400000">
          <a:off x="-52387" y="19788188"/>
          <a:ext cx="1314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97</xdr:row>
      <xdr:rowOff>85725</xdr:rowOff>
    </xdr:from>
    <xdr:to>
      <xdr:col>2</xdr:col>
      <xdr:colOff>952500</xdr:colOff>
      <xdr:row>97</xdr:row>
      <xdr:rowOff>104775</xdr:rowOff>
    </xdr:to>
    <xdr:cxnSp macro="">
      <xdr:nvCxnSpPr>
        <xdr:cNvPr id="4" name="Connector de fletxa recta 3"/>
        <xdr:cNvCxnSpPr/>
      </xdr:nvCxnSpPr>
      <xdr:spPr>
        <a:xfrm flipV="1">
          <a:off x="609600" y="20421600"/>
          <a:ext cx="15621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90</xdr:row>
      <xdr:rowOff>133350</xdr:rowOff>
    </xdr:from>
    <xdr:to>
      <xdr:col>1</xdr:col>
      <xdr:colOff>771525</xdr:colOff>
      <xdr:row>90</xdr:row>
      <xdr:rowOff>134938</xdr:rowOff>
    </xdr:to>
    <xdr:cxnSp macro="">
      <xdr:nvCxnSpPr>
        <xdr:cNvPr id="2" name="Connector recte 1"/>
        <xdr:cNvCxnSpPr/>
      </xdr:nvCxnSpPr>
      <xdr:spPr>
        <a:xfrm>
          <a:off x="609600" y="18173700"/>
          <a:ext cx="5048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97</xdr:row>
      <xdr:rowOff>85725</xdr:rowOff>
    </xdr:from>
    <xdr:to>
      <xdr:col>2</xdr:col>
      <xdr:colOff>952500</xdr:colOff>
      <xdr:row>97</xdr:row>
      <xdr:rowOff>104775</xdr:rowOff>
    </xdr:to>
    <xdr:cxnSp macro="">
      <xdr:nvCxnSpPr>
        <xdr:cNvPr id="3" name="Connector de fletxa recta 2"/>
        <xdr:cNvCxnSpPr/>
      </xdr:nvCxnSpPr>
      <xdr:spPr>
        <a:xfrm flipV="1">
          <a:off x="609600" y="19450050"/>
          <a:ext cx="15621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247649</xdr:colOff>
      <xdr:row>90</xdr:row>
      <xdr:rowOff>142875</xdr:rowOff>
    </xdr:from>
    <xdr:to>
      <xdr:col>1</xdr:col>
      <xdr:colOff>257174</xdr:colOff>
      <xdr:row>97</xdr:row>
      <xdr:rowOff>104775</xdr:rowOff>
    </xdr:to>
    <xdr:cxnSp macro="">
      <xdr:nvCxnSpPr>
        <xdr:cNvPr id="5" name="Connector recte 4"/>
        <xdr:cNvCxnSpPr/>
      </xdr:nvCxnSpPr>
      <xdr:spPr>
        <a:xfrm rot="16200000" flipH="1">
          <a:off x="-176213" y="19397662"/>
          <a:ext cx="1543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151"/>
  <sheetViews>
    <sheetView showGridLines="0" tabSelected="1" zoomScaleNormal="100" workbookViewId="0"/>
  </sheetViews>
  <sheetFormatPr defaultRowHeight="12.75"/>
  <cols>
    <col min="1" max="1" width="5.140625" style="1" customWidth="1"/>
    <col min="2" max="2" width="13.140625" style="1" customWidth="1"/>
    <col min="3" max="3" width="14.7109375" style="1" customWidth="1"/>
    <col min="4" max="4" width="13.140625" style="1" customWidth="1"/>
    <col min="5" max="5" width="13.42578125" style="1" customWidth="1"/>
    <col min="6" max="6" width="13.140625" style="1" customWidth="1"/>
    <col min="7" max="7" width="12" style="1" bestFit="1" customWidth="1"/>
    <col min="8" max="8" width="11" style="1" customWidth="1"/>
    <col min="9" max="11" width="9.140625" style="1"/>
    <col min="12" max="12" width="9.5703125" style="1" bestFit="1" customWidth="1"/>
    <col min="13" max="13" width="9.140625" style="1"/>
    <col min="14" max="14" width="10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6384" width="9.140625" style="1"/>
  </cols>
  <sheetData>
    <row r="2" spans="2:17" ht="57.75" customHeight="1">
      <c r="B2" s="68" t="s">
        <v>86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4" spans="2:17" ht="31.5" customHeight="1">
      <c r="F4" s="69" t="s">
        <v>100</v>
      </c>
      <c r="G4" s="69"/>
      <c r="H4" s="69"/>
      <c r="I4" s="69"/>
      <c r="J4" s="69"/>
      <c r="K4" s="69"/>
      <c r="L4" s="69"/>
      <c r="M4" s="69"/>
      <c r="N4" s="69"/>
    </row>
    <row r="6" spans="2:17">
      <c r="B6" s="28" t="s">
        <v>84</v>
      </c>
    </row>
    <row r="8" spans="2:17" s="25" customFormat="1" ht="18" customHeight="1">
      <c r="G8" s="70" t="s">
        <v>2</v>
      </c>
      <c r="H8" s="70"/>
      <c r="I8" s="70"/>
      <c r="J8" s="70"/>
      <c r="K8" s="22"/>
      <c r="L8" s="22"/>
    </row>
    <row r="9" spans="2:17" s="25" customFormat="1" ht="18" customHeight="1">
      <c r="C9" s="93"/>
      <c r="D9" s="93"/>
      <c r="E9" s="93"/>
      <c r="F9" s="94"/>
      <c r="G9" s="56" t="s">
        <v>3</v>
      </c>
      <c r="H9" s="24" t="s">
        <v>23</v>
      </c>
      <c r="I9" s="56" t="s">
        <v>4</v>
      </c>
      <c r="J9" s="24" t="s">
        <v>23</v>
      </c>
      <c r="K9" s="66" t="s">
        <v>44</v>
      </c>
      <c r="L9" s="24" t="s">
        <v>23</v>
      </c>
      <c r="M9" s="67" t="s">
        <v>1</v>
      </c>
      <c r="N9" s="96"/>
    </row>
    <row r="10" spans="2:17" s="25" customFormat="1" ht="18" customHeight="1">
      <c r="C10" s="74" t="s">
        <v>91</v>
      </c>
      <c r="D10" s="74"/>
      <c r="E10" s="74"/>
      <c r="F10" s="74"/>
      <c r="G10" s="95">
        <f>1602+1034</f>
        <v>2636</v>
      </c>
      <c r="H10" s="54">
        <f>G10/M10</f>
        <v>0.75400457665903886</v>
      </c>
      <c r="I10" s="95">
        <f>439+408</f>
        <v>847</v>
      </c>
      <c r="J10" s="54">
        <f>I10/M10</f>
        <v>0.24227688787185356</v>
      </c>
      <c r="K10" s="95">
        <v>13</v>
      </c>
      <c r="L10" s="54">
        <f>K10/M10</f>
        <v>3.7185354691075517E-3</v>
      </c>
      <c r="M10" s="98">
        <f>SUM(G10,I10,K10)</f>
        <v>3496</v>
      </c>
      <c r="N10" s="97"/>
    </row>
    <row r="11" spans="2:17">
      <c r="C11" s="6"/>
      <c r="D11" s="6"/>
      <c r="E11" s="6"/>
      <c r="F11" s="6"/>
      <c r="G11" s="7"/>
      <c r="H11" s="7"/>
      <c r="I11" s="7"/>
    </row>
    <row r="13" spans="2:17" ht="16.5" customHeight="1">
      <c r="G13" s="75" t="s">
        <v>5</v>
      </c>
      <c r="H13" s="75"/>
      <c r="I13" s="75"/>
      <c r="J13" s="75"/>
      <c r="K13" s="75"/>
      <c r="L13" s="75"/>
      <c r="M13" s="75"/>
      <c r="N13" s="75"/>
      <c r="O13" s="22"/>
      <c r="P13" s="22"/>
    </row>
    <row r="14" spans="2:17" ht="16.5" customHeight="1">
      <c r="C14" s="93" t="s">
        <v>0</v>
      </c>
      <c r="D14" s="93"/>
      <c r="E14" s="93"/>
      <c r="F14" s="94"/>
      <c r="G14" s="56" t="s">
        <v>6</v>
      </c>
      <c r="H14" s="24" t="s">
        <v>23</v>
      </c>
      <c r="I14" s="56" t="s">
        <v>7</v>
      </c>
      <c r="J14" s="24" t="s">
        <v>23</v>
      </c>
      <c r="K14" s="56" t="s">
        <v>8</v>
      </c>
      <c r="L14" s="24" t="s">
        <v>23</v>
      </c>
      <c r="M14" s="56" t="s">
        <v>9</v>
      </c>
      <c r="N14" s="24" t="s">
        <v>23</v>
      </c>
      <c r="O14" s="66" t="s">
        <v>44</v>
      </c>
      <c r="P14" s="24" t="s">
        <v>23</v>
      </c>
      <c r="Q14" s="67" t="s">
        <v>1</v>
      </c>
    </row>
    <row r="15" spans="2:17" ht="16.5" customHeight="1">
      <c r="C15" s="74" t="s">
        <v>91</v>
      </c>
      <c r="D15" s="74"/>
      <c r="E15" s="74"/>
      <c r="F15" s="74"/>
      <c r="G15" s="53">
        <f>351+313</f>
        <v>664</v>
      </c>
      <c r="H15" s="54">
        <f>G15/M10</f>
        <v>0.18993135011441648</v>
      </c>
      <c r="I15" s="95">
        <f>1151+871</f>
        <v>2022</v>
      </c>
      <c r="J15" s="54">
        <f>I15/M10</f>
        <v>0.57837528604118993</v>
      </c>
      <c r="K15" s="55">
        <f>383+308</f>
        <v>691</v>
      </c>
      <c r="L15" s="54">
        <f>K15/M10</f>
        <v>0.19765446224256292</v>
      </c>
      <c r="M15" s="55">
        <f>156+87</f>
        <v>243</v>
      </c>
      <c r="N15" s="54">
        <f>M15/M10</f>
        <v>6.9508009153318076E-2</v>
      </c>
      <c r="O15" s="95">
        <v>25</v>
      </c>
      <c r="P15" s="54">
        <f>O15/M10</f>
        <v>7.1510297482837533E-3</v>
      </c>
      <c r="Q15" s="98">
        <f>SUM(G15,I15,K15,M15,O15)</f>
        <v>3645</v>
      </c>
    </row>
    <row r="17" spans="3:8">
      <c r="D17" s="26" t="s">
        <v>76</v>
      </c>
    </row>
    <row r="20" spans="3:8">
      <c r="C20" s="28" t="s">
        <v>10</v>
      </c>
    </row>
    <row r="21" spans="3:8">
      <c r="C21" s="27" t="s">
        <v>11</v>
      </c>
    </row>
    <row r="23" spans="3:8" ht="15.75" customHeight="1">
      <c r="G23" s="57" t="s">
        <v>22</v>
      </c>
      <c r="H23" s="57" t="s">
        <v>87</v>
      </c>
    </row>
    <row r="24" spans="3:8" ht="15.75" customHeight="1">
      <c r="D24" s="71" t="s">
        <v>12</v>
      </c>
      <c r="E24" s="72"/>
      <c r="F24" s="73"/>
      <c r="G24" s="19">
        <f>306+249</f>
        <v>555</v>
      </c>
      <c r="H24" s="21">
        <f>G24/$M$10</f>
        <v>0.15875286041189932</v>
      </c>
    </row>
    <row r="25" spans="3:8" ht="15.75" customHeight="1">
      <c r="D25" s="71" t="s">
        <v>13</v>
      </c>
      <c r="E25" s="72"/>
      <c r="F25" s="73"/>
      <c r="G25" s="19">
        <f>149+106</f>
        <v>255</v>
      </c>
      <c r="H25" s="21">
        <f t="shared" ref="H25:H34" si="0">G25/$M$10</f>
        <v>7.294050343249428E-2</v>
      </c>
    </row>
    <row r="26" spans="3:8" ht="15.75" customHeight="1">
      <c r="D26" s="71" t="s">
        <v>14</v>
      </c>
      <c r="E26" s="72"/>
      <c r="F26" s="73"/>
      <c r="G26" s="106">
        <f>908+657</f>
        <v>1565</v>
      </c>
      <c r="H26" s="21">
        <f t="shared" si="0"/>
        <v>0.44765446224256294</v>
      </c>
    </row>
    <row r="27" spans="3:8" ht="15.75" customHeight="1">
      <c r="D27" s="71" t="s">
        <v>15</v>
      </c>
      <c r="E27" s="72"/>
      <c r="F27" s="73"/>
      <c r="G27" s="106">
        <f>103+107</f>
        <v>210</v>
      </c>
      <c r="H27" s="21">
        <f t="shared" si="0"/>
        <v>6.0068649885583525E-2</v>
      </c>
    </row>
    <row r="28" spans="3:8" ht="15.75" customHeight="1">
      <c r="D28" s="71" t="s">
        <v>16</v>
      </c>
      <c r="E28" s="72"/>
      <c r="F28" s="73"/>
      <c r="G28" s="106">
        <f>227+97</f>
        <v>324</v>
      </c>
      <c r="H28" s="21">
        <f t="shared" si="0"/>
        <v>9.2677345537757444E-2</v>
      </c>
    </row>
    <row r="29" spans="3:8" ht="15.75" customHeight="1">
      <c r="D29" s="71" t="s">
        <v>17</v>
      </c>
      <c r="E29" s="72"/>
      <c r="F29" s="73"/>
      <c r="G29" s="106">
        <f>685+329</f>
        <v>1014</v>
      </c>
      <c r="H29" s="21">
        <f t="shared" si="0"/>
        <v>0.290045766590389</v>
      </c>
    </row>
    <row r="30" spans="3:8" ht="15.75" customHeight="1">
      <c r="D30" s="71" t="s">
        <v>18</v>
      </c>
      <c r="E30" s="72"/>
      <c r="F30" s="73"/>
      <c r="G30" s="106">
        <f>392+295</f>
        <v>687</v>
      </c>
      <c r="H30" s="21">
        <f t="shared" si="0"/>
        <v>0.19651029748283752</v>
      </c>
    </row>
    <row r="31" spans="3:8" ht="15.75" customHeight="1">
      <c r="D31" s="71" t="s">
        <v>19</v>
      </c>
      <c r="E31" s="72"/>
      <c r="F31" s="73"/>
      <c r="G31" s="19">
        <f>172+168</f>
        <v>340</v>
      </c>
      <c r="H31" s="21">
        <f t="shared" si="0"/>
        <v>9.7254004576659045E-2</v>
      </c>
    </row>
    <row r="32" spans="3:8" ht="15.75" customHeight="1">
      <c r="D32" s="71" t="s">
        <v>20</v>
      </c>
      <c r="E32" s="72"/>
      <c r="F32" s="73"/>
      <c r="G32" s="19">
        <f>163+77</f>
        <v>240</v>
      </c>
      <c r="H32" s="21">
        <f t="shared" si="0"/>
        <v>6.8649885583524028E-2</v>
      </c>
    </row>
    <row r="33" spans="2:12" ht="27" customHeight="1">
      <c r="D33" s="71" t="s">
        <v>21</v>
      </c>
      <c r="E33" s="72"/>
      <c r="F33" s="73"/>
      <c r="G33" s="19">
        <f>446+214</f>
        <v>660</v>
      </c>
      <c r="H33" s="21">
        <f t="shared" si="0"/>
        <v>0.18878718535469108</v>
      </c>
    </row>
    <row r="34" spans="2:12" ht="18" customHeight="1">
      <c r="D34" s="71" t="s">
        <v>44</v>
      </c>
      <c r="E34" s="72"/>
      <c r="F34" s="73"/>
      <c r="G34" s="19">
        <v>16</v>
      </c>
      <c r="H34" s="21">
        <f t="shared" si="0"/>
        <v>4.5766590389016018E-3</v>
      </c>
    </row>
    <row r="38" spans="2:12" ht="30" customHeight="1">
      <c r="B38" s="79" t="s">
        <v>77</v>
      </c>
      <c r="C38" s="79"/>
      <c r="D38" s="79"/>
      <c r="E38" s="79"/>
      <c r="F38" s="79"/>
      <c r="G38" s="79"/>
      <c r="H38" s="79"/>
      <c r="I38" s="79"/>
      <c r="J38" s="79"/>
    </row>
    <row r="40" spans="2:12" s="25" customFormat="1" ht="15.75" customHeight="1">
      <c r="C40" s="2"/>
      <c r="F40" s="8"/>
      <c r="G40" s="57" t="s">
        <v>22</v>
      </c>
      <c r="H40" s="57" t="s">
        <v>87</v>
      </c>
      <c r="I40" s="9"/>
      <c r="J40" s="9"/>
      <c r="K40" s="8"/>
      <c r="L40" s="8"/>
    </row>
    <row r="41" spans="2:12" s="25" customFormat="1" ht="15.75" customHeight="1">
      <c r="C41" s="80" t="s">
        <v>32</v>
      </c>
      <c r="D41" s="80"/>
      <c r="E41" s="80"/>
      <c r="F41" s="80"/>
      <c r="G41" s="29">
        <v>2835</v>
      </c>
      <c r="H41" s="21">
        <f>G41/$M$10</f>
        <v>0.81092677345537756</v>
      </c>
      <c r="I41" s="9"/>
      <c r="J41" s="9"/>
      <c r="K41" s="8"/>
      <c r="L41" s="8"/>
    </row>
    <row r="42" spans="2:12" s="25" customFormat="1" ht="15.75" customHeight="1">
      <c r="C42" s="80" t="s">
        <v>33</v>
      </c>
      <c r="D42" s="80"/>
      <c r="E42" s="80"/>
      <c r="F42" s="80"/>
      <c r="G42" s="29">
        <v>1394</v>
      </c>
      <c r="H42" s="21">
        <f>G42/$M$10</f>
        <v>0.39874141876430208</v>
      </c>
      <c r="I42" s="9"/>
      <c r="J42" s="9"/>
      <c r="K42" s="8"/>
      <c r="L42" s="8"/>
    </row>
    <row r="43" spans="2:12" s="25" customFormat="1" ht="15.75" customHeight="1">
      <c r="C43" s="80" t="s">
        <v>34</v>
      </c>
      <c r="D43" s="80"/>
      <c r="E43" s="80"/>
      <c r="F43" s="81"/>
      <c r="G43" s="32"/>
      <c r="H43" s="49"/>
      <c r="I43" s="8"/>
      <c r="J43" s="8"/>
      <c r="K43" s="8"/>
      <c r="L43" s="8"/>
    </row>
    <row r="44" spans="2:12" s="25" customFormat="1" ht="15.75" customHeight="1">
      <c r="C44" s="80" t="s">
        <v>78</v>
      </c>
      <c r="D44" s="80"/>
      <c r="E44" s="80"/>
      <c r="F44" s="80"/>
      <c r="G44" s="31">
        <v>394</v>
      </c>
      <c r="H44" s="21">
        <f t="shared" ref="H44:H47" si="1">G44/$M$10</f>
        <v>0.11270022883295194</v>
      </c>
      <c r="I44" s="10"/>
      <c r="J44" s="8"/>
      <c r="K44" s="8"/>
      <c r="L44" s="8"/>
    </row>
    <row r="45" spans="2:12" s="25" customFormat="1" ht="15.75" customHeight="1">
      <c r="C45" s="80" t="s">
        <v>79</v>
      </c>
      <c r="D45" s="80"/>
      <c r="E45" s="80"/>
      <c r="F45" s="80"/>
      <c r="G45" s="29">
        <v>271</v>
      </c>
      <c r="H45" s="21">
        <f t="shared" si="1"/>
        <v>7.7517162471395881E-2</v>
      </c>
      <c r="I45" s="11"/>
      <c r="J45" s="11"/>
      <c r="K45" s="11"/>
      <c r="L45" s="82"/>
    </row>
    <row r="46" spans="2:12" s="25" customFormat="1" ht="15.75" customHeight="1">
      <c r="C46" s="80" t="s">
        <v>80</v>
      </c>
      <c r="D46" s="80"/>
      <c r="E46" s="80"/>
      <c r="F46" s="80"/>
      <c r="G46" s="29">
        <v>279</v>
      </c>
      <c r="H46" s="21">
        <f t="shared" si="1"/>
        <v>7.9805491990846689E-2</v>
      </c>
      <c r="I46" s="58"/>
      <c r="J46" s="58"/>
      <c r="K46" s="58"/>
      <c r="L46" s="82"/>
    </row>
    <row r="47" spans="2:12" s="25" customFormat="1" ht="15.75" customHeight="1">
      <c r="C47" s="80" t="s">
        <v>9</v>
      </c>
      <c r="D47" s="80"/>
      <c r="E47" s="80"/>
      <c r="F47" s="80"/>
      <c r="G47" s="29">
        <v>277</v>
      </c>
      <c r="H47" s="21">
        <f t="shared" si="1"/>
        <v>7.9233409610983976E-2</v>
      </c>
      <c r="I47" s="12"/>
      <c r="J47" s="12"/>
      <c r="K47" s="12"/>
      <c r="L47" s="12"/>
    </row>
    <row r="48" spans="2:12">
      <c r="C48" s="10"/>
      <c r="D48" s="13"/>
      <c r="E48" s="3"/>
      <c r="F48" s="8"/>
      <c r="G48" s="83"/>
      <c r="H48" s="83"/>
      <c r="I48" s="12"/>
      <c r="J48" s="12"/>
      <c r="K48" s="12"/>
      <c r="L48" s="12"/>
    </row>
    <row r="49" spans="2:12">
      <c r="C49" s="2"/>
      <c r="D49" s="13"/>
      <c r="E49" s="3"/>
      <c r="F49" s="8"/>
      <c r="G49" s="8"/>
      <c r="H49" s="8"/>
      <c r="I49" s="8"/>
      <c r="J49" s="8"/>
      <c r="K49" s="8"/>
      <c r="L49" s="8"/>
    </row>
    <row r="50" spans="2:12">
      <c r="B50" s="28" t="s">
        <v>24</v>
      </c>
    </row>
    <row r="52" spans="2:12" ht="17.25" customHeight="1">
      <c r="C52" s="2"/>
      <c r="G52" s="57" t="s">
        <v>22</v>
      </c>
      <c r="H52" s="57" t="s">
        <v>87</v>
      </c>
    </row>
    <row r="53" spans="2:12" ht="17.25" customHeight="1">
      <c r="C53" s="80" t="s">
        <v>35</v>
      </c>
      <c r="D53" s="80"/>
      <c r="E53" s="80"/>
      <c r="F53" s="80"/>
      <c r="G53" s="29">
        <v>1234</v>
      </c>
      <c r="H53" s="21">
        <f t="shared" ref="H53:H56" si="2">G53/$M$10</f>
        <v>0.35297482837528604</v>
      </c>
    </row>
    <row r="54" spans="2:12" ht="17.25" customHeight="1">
      <c r="C54" s="76" t="s">
        <v>36</v>
      </c>
      <c r="D54" s="77"/>
      <c r="E54" s="77"/>
      <c r="F54" s="78"/>
      <c r="G54" s="29">
        <v>1641</v>
      </c>
      <c r="H54" s="21">
        <f t="shared" si="2"/>
        <v>0.46939359267734554</v>
      </c>
      <c r="J54" s="59"/>
    </row>
    <row r="55" spans="2:12" ht="17.25" customHeight="1">
      <c r="C55" s="80" t="s">
        <v>9</v>
      </c>
      <c r="D55" s="80"/>
      <c r="E55" s="80"/>
      <c r="F55" s="80"/>
      <c r="G55" s="29">
        <v>629</v>
      </c>
      <c r="H55" s="21">
        <f t="shared" si="2"/>
        <v>0.17991990846681921</v>
      </c>
    </row>
    <row r="56" spans="2:12" ht="17.25" customHeight="1">
      <c r="C56" s="80" t="s">
        <v>44</v>
      </c>
      <c r="D56" s="80"/>
      <c r="E56" s="80"/>
      <c r="F56" s="80"/>
      <c r="G56" s="29">
        <v>17</v>
      </c>
      <c r="H56" s="21">
        <f t="shared" si="2"/>
        <v>4.8627002288329519E-3</v>
      </c>
    </row>
    <row r="57" spans="2:12">
      <c r="C57" s="33"/>
      <c r="D57" s="33"/>
      <c r="E57" s="33"/>
      <c r="F57" s="33"/>
      <c r="G57" s="12"/>
      <c r="H57" s="34"/>
    </row>
    <row r="59" spans="2:12">
      <c r="B59" s="28" t="s">
        <v>25</v>
      </c>
    </row>
    <row r="61" spans="2:12" ht="17.25" customHeight="1">
      <c r="C61" s="2"/>
      <c r="D61" s="46"/>
      <c r="E61" s="46"/>
      <c r="G61" s="57" t="s">
        <v>22</v>
      </c>
      <c r="H61" s="57" t="s">
        <v>87</v>
      </c>
    </row>
    <row r="62" spans="2:12" ht="17.25" customHeight="1">
      <c r="C62" s="87" t="s">
        <v>37</v>
      </c>
      <c r="D62" s="87"/>
      <c r="E62" s="87"/>
      <c r="F62" s="87"/>
      <c r="G62" s="50">
        <v>1833</v>
      </c>
      <c r="H62" s="21">
        <f t="shared" ref="H62:H63" si="3">G62/$M$10</f>
        <v>0.52431350114416475</v>
      </c>
    </row>
    <row r="63" spans="2:12" ht="17.25" customHeight="1">
      <c r="C63" s="87" t="s">
        <v>38</v>
      </c>
      <c r="D63" s="87"/>
      <c r="E63" s="87"/>
      <c r="F63" s="87"/>
      <c r="G63" s="29">
        <v>695</v>
      </c>
      <c r="H63" s="21">
        <f t="shared" si="3"/>
        <v>0.19879862700228834</v>
      </c>
    </row>
    <row r="64" spans="2:12" ht="17.25" customHeight="1">
      <c r="C64" s="87" t="s">
        <v>39</v>
      </c>
      <c r="D64" s="87"/>
      <c r="E64" s="87"/>
      <c r="F64" s="76"/>
      <c r="G64" s="32"/>
      <c r="H64" s="49"/>
    </row>
    <row r="65" spans="2:14" ht="17.25" customHeight="1">
      <c r="C65" s="87" t="s">
        <v>81</v>
      </c>
      <c r="D65" s="87"/>
      <c r="E65" s="87"/>
      <c r="F65" s="87"/>
      <c r="G65" s="31">
        <v>338</v>
      </c>
      <c r="H65" s="21">
        <f t="shared" ref="H65:H71" si="4">G65/$M$10</f>
        <v>9.6681922196796333E-2</v>
      </c>
    </row>
    <row r="66" spans="2:14" ht="17.25" customHeight="1">
      <c r="C66" s="87" t="s">
        <v>82</v>
      </c>
      <c r="D66" s="87"/>
      <c r="E66" s="87"/>
      <c r="F66" s="87"/>
      <c r="G66" s="29">
        <v>406</v>
      </c>
      <c r="H66" s="21">
        <f t="shared" si="4"/>
        <v>0.11613272311212815</v>
      </c>
    </row>
    <row r="67" spans="2:14" ht="17.25" customHeight="1">
      <c r="C67" s="87" t="s">
        <v>83</v>
      </c>
      <c r="D67" s="87"/>
      <c r="E67" s="87"/>
      <c r="F67" s="87"/>
      <c r="G67" s="29">
        <v>298</v>
      </c>
      <c r="H67" s="21">
        <f t="shared" si="4"/>
        <v>8.5240274599542337E-2</v>
      </c>
    </row>
    <row r="68" spans="2:14" ht="17.25" customHeight="1">
      <c r="C68" s="87" t="s">
        <v>40</v>
      </c>
      <c r="D68" s="87"/>
      <c r="E68" s="87"/>
      <c r="F68" s="87"/>
      <c r="G68" s="29">
        <v>1149</v>
      </c>
      <c r="H68" s="21">
        <f t="shared" si="4"/>
        <v>0.32866132723112129</v>
      </c>
    </row>
    <row r="69" spans="2:14" ht="17.25" customHeight="1">
      <c r="C69" s="87" t="s">
        <v>41</v>
      </c>
      <c r="D69" s="87"/>
      <c r="E69" s="87"/>
      <c r="F69" s="87"/>
      <c r="G69" s="29">
        <v>442</v>
      </c>
      <c r="H69" s="21">
        <f t="shared" si="4"/>
        <v>0.12643020594965676</v>
      </c>
    </row>
    <row r="70" spans="2:14" ht="17.25" customHeight="1">
      <c r="C70" s="87" t="s">
        <v>9</v>
      </c>
      <c r="D70" s="87"/>
      <c r="E70" s="87"/>
      <c r="F70" s="87"/>
      <c r="G70" s="29">
        <v>155</v>
      </c>
      <c r="H70" s="21">
        <f t="shared" si="4"/>
        <v>4.4336384439359271E-2</v>
      </c>
    </row>
    <row r="71" spans="2:14" ht="17.25" customHeight="1">
      <c r="C71" s="87" t="s">
        <v>44</v>
      </c>
      <c r="D71" s="87"/>
      <c r="E71" s="87"/>
      <c r="F71" s="87"/>
      <c r="G71" s="29">
        <v>5</v>
      </c>
      <c r="H71" s="21">
        <f t="shared" si="4"/>
        <v>1.4302059496567505E-3</v>
      </c>
    </row>
    <row r="72" spans="2:14">
      <c r="C72" s="36"/>
      <c r="D72" s="36"/>
      <c r="E72" s="36"/>
      <c r="F72" s="36"/>
      <c r="G72" s="60"/>
      <c r="H72" s="34"/>
    </row>
    <row r="74" spans="2:14">
      <c r="B74" s="28" t="s">
        <v>26</v>
      </c>
    </row>
    <row r="75" spans="2:14" ht="12.75" customHeight="1"/>
    <row r="76" spans="2:14" s="25" customFormat="1" ht="17.25" customHeight="1">
      <c r="B76" s="14"/>
      <c r="G76" s="15"/>
      <c r="H76" s="84" t="s">
        <v>42</v>
      </c>
      <c r="I76" s="85"/>
      <c r="J76" s="85"/>
      <c r="K76" s="85"/>
      <c r="L76" s="86"/>
      <c r="M76" s="15"/>
    </row>
    <row r="77" spans="2:14" s="25" customFormat="1" ht="17.25" customHeight="1">
      <c r="B77" s="14"/>
      <c r="G77" s="35" t="s">
        <v>43</v>
      </c>
      <c r="H77" s="35">
        <v>1</v>
      </c>
      <c r="I77" s="35">
        <v>2</v>
      </c>
      <c r="J77" s="35">
        <v>3</v>
      </c>
      <c r="K77" s="35">
        <v>4</v>
      </c>
      <c r="L77" s="35">
        <v>5</v>
      </c>
      <c r="M77" s="35" t="s">
        <v>44</v>
      </c>
    </row>
    <row r="78" spans="2:14" s="25" customFormat="1" ht="17.25" customHeight="1">
      <c r="C78" s="87" t="s">
        <v>45</v>
      </c>
      <c r="D78" s="87"/>
      <c r="E78" s="87"/>
      <c r="F78" s="87"/>
      <c r="G78" s="120">
        <v>3.4237003729074829</v>
      </c>
      <c r="H78" s="29">
        <v>104</v>
      </c>
      <c r="I78" s="128">
        <v>412</v>
      </c>
      <c r="J78" s="128">
        <v>1334</v>
      </c>
      <c r="K78" s="128">
        <v>1215</v>
      </c>
      <c r="L78" s="131">
        <v>377</v>
      </c>
      <c r="M78" s="29">
        <v>54</v>
      </c>
    </row>
    <row r="79" spans="2:14" s="25" customFormat="1" ht="17.25" customHeight="1">
      <c r="C79" s="87" t="s">
        <v>46</v>
      </c>
      <c r="D79" s="87"/>
      <c r="E79" s="87"/>
      <c r="F79" s="87"/>
      <c r="G79" s="120">
        <v>3.5847678392692695</v>
      </c>
      <c r="H79" s="29">
        <v>114</v>
      </c>
      <c r="I79" s="128">
        <v>356</v>
      </c>
      <c r="J79" s="128">
        <v>1052</v>
      </c>
      <c r="K79" s="128">
        <v>1266</v>
      </c>
      <c r="L79" s="131">
        <v>655</v>
      </c>
      <c r="M79" s="29">
        <v>53</v>
      </c>
      <c r="N79" s="61"/>
    </row>
    <row r="80" spans="2:14" s="25" customFormat="1" ht="17.25" customHeight="1">
      <c r="C80" s="87" t="s">
        <v>47</v>
      </c>
      <c r="D80" s="87"/>
      <c r="E80" s="87"/>
      <c r="F80" s="87"/>
      <c r="G80" s="120">
        <v>3.7499005558120952</v>
      </c>
      <c r="H80" s="29">
        <v>73</v>
      </c>
      <c r="I80" s="128">
        <v>232</v>
      </c>
      <c r="J80" s="128">
        <v>984</v>
      </c>
      <c r="K80" s="128">
        <v>1402</v>
      </c>
      <c r="L80" s="131">
        <v>752</v>
      </c>
      <c r="M80" s="29">
        <v>53</v>
      </c>
      <c r="N80" s="61"/>
    </row>
    <row r="81" spans="2:14" s="25" customFormat="1" ht="17.25" customHeight="1">
      <c r="C81" s="87" t="s">
        <v>48</v>
      </c>
      <c r="D81" s="87"/>
      <c r="E81" s="87"/>
      <c r="F81" s="87"/>
      <c r="G81" s="120">
        <v>3.1799155272778239</v>
      </c>
      <c r="H81" s="129">
        <v>176</v>
      </c>
      <c r="I81" s="128">
        <v>567</v>
      </c>
      <c r="J81" s="128">
        <v>1402</v>
      </c>
      <c r="K81" s="128">
        <v>1011</v>
      </c>
      <c r="L81" s="131">
        <v>271</v>
      </c>
      <c r="M81" s="29">
        <v>69</v>
      </c>
      <c r="N81" s="61"/>
    </row>
    <row r="82" spans="2:14" s="25" customFormat="1" ht="29.25" customHeight="1">
      <c r="C82" s="87" t="s">
        <v>49</v>
      </c>
      <c r="D82" s="87"/>
      <c r="E82" s="87"/>
      <c r="F82" s="87"/>
      <c r="G82" s="120">
        <v>2.7366279246843512</v>
      </c>
      <c r="H82" s="29">
        <v>622</v>
      </c>
      <c r="I82" s="128">
        <v>868</v>
      </c>
      <c r="J82" s="128">
        <v>1022</v>
      </c>
      <c r="K82" s="128">
        <v>701</v>
      </c>
      <c r="L82" s="131">
        <v>224</v>
      </c>
      <c r="M82" s="29">
        <v>59</v>
      </c>
      <c r="N82" s="61"/>
    </row>
    <row r="83" spans="2:14" s="25" customFormat="1" ht="17.25" customHeight="1">
      <c r="C83" s="87" t="s">
        <v>50</v>
      </c>
      <c r="D83" s="87"/>
      <c r="E83" s="87"/>
      <c r="F83" s="87"/>
      <c r="G83" s="120">
        <v>3.6457038136104125</v>
      </c>
      <c r="H83" s="110">
        <v>100</v>
      </c>
      <c r="I83" s="128">
        <v>292</v>
      </c>
      <c r="J83" s="131">
        <v>1058</v>
      </c>
      <c r="K83" s="128">
        <v>1328</v>
      </c>
      <c r="L83" s="131">
        <v>662</v>
      </c>
      <c r="M83" s="128">
        <v>56</v>
      </c>
      <c r="N83" s="61"/>
    </row>
    <row r="86" spans="2:14">
      <c r="B86" s="28" t="s">
        <v>27</v>
      </c>
    </row>
    <row r="87" spans="2:14">
      <c r="H87" s="62"/>
    </row>
    <row r="88" spans="2:14">
      <c r="B88" s="28" t="s">
        <v>28</v>
      </c>
    </row>
    <row r="90" spans="2:14" s="25" customFormat="1" ht="17.25" customHeight="1">
      <c r="B90" s="2"/>
      <c r="G90" s="57" t="s">
        <v>22</v>
      </c>
      <c r="H90" s="57" t="s">
        <v>87</v>
      </c>
    </row>
    <row r="91" spans="2:14" s="25" customFormat="1" ht="27" customHeight="1">
      <c r="C91" s="87" t="s">
        <v>51</v>
      </c>
      <c r="D91" s="87"/>
      <c r="E91" s="87"/>
      <c r="F91" s="87"/>
      <c r="G91" s="29">
        <v>1532</v>
      </c>
      <c r="H91" s="21">
        <f>G91/$M$10</f>
        <v>0.43821510297482835</v>
      </c>
    </row>
    <row r="92" spans="2:14" s="25" customFormat="1" ht="17.25" customHeight="1">
      <c r="C92" s="87" t="s">
        <v>52</v>
      </c>
      <c r="D92" s="87"/>
      <c r="E92" s="87"/>
      <c r="F92" s="87"/>
      <c r="G92" s="29">
        <v>1502</v>
      </c>
      <c r="H92" s="21">
        <f t="shared" ref="H92:H95" si="5">G92/$M$10</f>
        <v>0.42963386727688785</v>
      </c>
    </row>
    <row r="93" spans="2:14" s="25" customFormat="1" ht="17.25" customHeight="1">
      <c r="C93" s="87" t="s">
        <v>53</v>
      </c>
      <c r="D93" s="87"/>
      <c r="E93" s="87"/>
      <c r="F93" s="87"/>
      <c r="G93" s="29">
        <v>496</v>
      </c>
      <c r="H93" s="21">
        <f t="shared" si="5"/>
        <v>0.14187643020594964</v>
      </c>
    </row>
    <row r="94" spans="2:14" s="25" customFormat="1" ht="17.25" customHeight="1">
      <c r="C94" s="87" t="s">
        <v>9</v>
      </c>
      <c r="D94" s="87"/>
      <c r="E94" s="87"/>
      <c r="F94" s="87"/>
      <c r="G94" s="29">
        <v>814</v>
      </c>
      <c r="H94" s="21">
        <f t="shared" si="5"/>
        <v>0.23283752860411899</v>
      </c>
    </row>
    <row r="95" spans="2:14" s="25" customFormat="1" ht="17.25" customHeight="1">
      <c r="C95" s="87" t="s">
        <v>44</v>
      </c>
      <c r="D95" s="87"/>
      <c r="E95" s="87"/>
      <c r="F95" s="87"/>
      <c r="G95" s="29">
        <v>185</v>
      </c>
      <c r="H95" s="21">
        <f t="shared" si="5"/>
        <v>5.2917620137299774E-2</v>
      </c>
    </row>
    <row r="96" spans="2:14">
      <c r="B96" s="2"/>
      <c r="C96" s="16"/>
      <c r="D96" s="17"/>
    </row>
    <row r="97" spans="2:8">
      <c r="B97" s="2"/>
      <c r="C97" s="5"/>
      <c r="D97" s="3"/>
    </row>
    <row r="98" spans="2:8" ht="15.75" customHeight="1">
      <c r="B98" s="47"/>
      <c r="C98" s="46"/>
      <c r="D98" s="88" t="s">
        <v>85</v>
      </c>
      <c r="E98" s="89"/>
      <c r="F98" s="89"/>
      <c r="G98" s="57" t="s">
        <v>22</v>
      </c>
      <c r="H98" s="57" t="s">
        <v>23</v>
      </c>
    </row>
    <row r="99" spans="2:8" ht="15.75" customHeight="1">
      <c r="B99" s="48"/>
      <c r="D99" s="87" t="s">
        <v>54</v>
      </c>
      <c r="E99" s="87"/>
      <c r="F99" s="87"/>
      <c r="G99" s="29">
        <v>998</v>
      </c>
      <c r="H99" s="45">
        <f>G99/$G$105</f>
        <v>0.65143603133159267</v>
      </c>
    </row>
    <row r="100" spans="2:8" ht="15.75" customHeight="1">
      <c r="B100" s="48"/>
      <c r="D100" s="87" t="s">
        <v>55</v>
      </c>
      <c r="E100" s="87"/>
      <c r="F100" s="87"/>
      <c r="G100" s="4">
        <v>71</v>
      </c>
      <c r="H100" s="45">
        <f t="shared" ref="H100:H104" si="6">G100/$G$105</f>
        <v>4.6344647519582248E-2</v>
      </c>
    </row>
    <row r="101" spans="2:8" ht="15.75" customHeight="1">
      <c r="B101" s="48"/>
      <c r="D101" s="87" t="s">
        <v>56</v>
      </c>
      <c r="E101" s="87"/>
      <c r="F101" s="87"/>
      <c r="G101" s="4">
        <v>50</v>
      </c>
      <c r="H101" s="45">
        <f t="shared" si="6"/>
        <v>3.2637075718015669E-2</v>
      </c>
    </row>
    <row r="102" spans="2:8" ht="15.75" customHeight="1">
      <c r="B102" s="48"/>
      <c r="D102" s="87" t="s">
        <v>57</v>
      </c>
      <c r="E102" s="87"/>
      <c r="F102" s="87"/>
      <c r="G102" s="31">
        <v>47</v>
      </c>
      <c r="H102" s="45">
        <f t="shared" si="6"/>
        <v>3.0678851174934726E-2</v>
      </c>
    </row>
    <row r="103" spans="2:8" ht="15.75" customHeight="1">
      <c r="B103" s="48"/>
      <c r="D103" s="87" t="s">
        <v>58</v>
      </c>
      <c r="E103" s="87"/>
      <c r="F103" s="87"/>
      <c r="G103" s="29">
        <v>277</v>
      </c>
      <c r="H103" s="45">
        <f t="shared" si="6"/>
        <v>0.18080939947780678</v>
      </c>
    </row>
    <row r="104" spans="2:8" ht="15.75" customHeight="1">
      <c r="B104" s="48"/>
      <c r="D104" s="87" t="s">
        <v>59</v>
      </c>
      <c r="E104" s="87"/>
      <c r="F104" s="87"/>
      <c r="G104" s="4">
        <v>90</v>
      </c>
      <c r="H104" s="45">
        <f t="shared" si="6"/>
        <v>5.87467362924282E-2</v>
      </c>
    </row>
    <row r="105" spans="2:8" ht="15.75" customHeight="1">
      <c r="B105" s="47"/>
      <c r="D105" s="90" t="s">
        <v>60</v>
      </c>
      <c r="E105" s="90"/>
      <c r="F105" s="90"/>
      <c r="G105" s="38">
        <v>1532</v>
      </c>
      <c r="H105" s="30">
        <f t="shared" ref="H105" si="7">G105/$G$105</f>
        <v>1</v>
      </c>
    </row>
    <row r="106" spans="2:8" ht="15.75" customHeight="1">
      <c r="B106" s="47"/>
      <c r="D106" s="39"/>
      <c r="E106" s="39"/>
      <c r="F106" s="39"/>
      <c r="G106" s="40"/>
      <c r="H106" s="37"/>
    </row>
    <row r="108" spans="2:8">
      <c r="B108" s="28" t="s">
        <v>29</v>
      </c>
    </row>
    <row r="110" spans="2:8" ht="15.75" customHeight="1">
      <c r="B110" s="2"/>
      <c r="C110" s="46"/>
      <c r="D110" s="46"/>
      <c r="G110" s="57" t="s">
        <v>22</v>
      </c>
      <c r="H110" s="57" t="s">
        <v>87</v>
      </c>
    </row>
    <row r="111" spans="2:8" ht="15.75" customHeight="1">
      <c r="C111" s="87" t="s">
        <v>61</v>
      </c>
      <c r="D111" s="87"/>
      <c r="E111" s="87"/>
      <c r="F111" s="87"/>
      <c r="G111" s="126">
        <v>3311</v>
      </c>
      <c r="H111" s="21">
        <f t="shared" ref="H111:H119" si="8">G111/$M$10</f>
        <v>0.94708237986270027</v>
      </c>
    </row>
    <row r="112" spans="2:8" ht="28.5" customHeight="1">
      <c r="C112" s="87" t="s">
        <v>62</v>
      </c>
      <c r="D112" s="87"/>
      <c r="E112" s="87"/>
      <c r="F112" s="87"/>
      <c r="G112" s="127">
        <v>531</v>
      </c>
      <c r="H112" s="21">
        <f t="shared" si="8"/>
        <v>0.15188787185354691</v>
      </c>
    </row>
    <row r="113" spans="2:14" ht="15.75" customHeight="1">
      <c r="C113" s="87" t="s">
        <v>63</v>
      </c>
      <c r="D113" s="87"/>
      <c r="E113" s="87"/>
      <c r="F113" s="87"/>
      <c r="G113" s="127">
        <v>1065</v>
      </c>
      <c r="H113" s="21">
        <f t="shared" si="8"/>
        <v>0.30463386727688785</v>
      </c>
    </row>
    <row r="114" spans="2:14" ht="15.75" customHeight="1">
      <c r="C114" s="87" t="s">
        <v>64</v>
      </c>
      <c r="D114" s="87"/>
      <c r="E114" s="87"/>
      <c r="F114" s="87"/>
      <c r="G114" s="127">
        <v>963</v>
      </c>
      <c r="H114" s="21">
        <f t="shared" si="8"/>
        <v>0.27545766590389015</v>
      </c>
    </row>
    <row r="115" spans="2:14" ht="15.75" customHeight="1">
      <c r="C115" s="87" t="s">
        <v>65</v>
      </c>
      <c r="D115" s="87"/>
      <c r="E115" s="87"/>
      <c r="F115" s="87"/>
      <c r="G115" s="29">
        <v>196</v>
      </c>
      <c r="H115" s="21">
        <f t="shared" si="8"/>
        <v>5.6064073226544622E-2</v>
      </c>
    </row>
    <row r="116" spans="2:14" ht="15.75" customHeight="1">
      <c r="C116" s="87" t="s">
        <v>66</v>
      </c>
      <c r="D116" s="87"/>
      <c r="E116" s="87"/>
      <c r="F116" s="87"/>
      <c r="G116" s="127">
        <v>564</v>
      </c>
      <c r="H116" s="21">
        <f t="shared" si="8"/>
        <v>0.16132723112128147</v>
      </c>
    </row>
    <row r="117" spans="2:14" ht="15.75" customHeight="1">
      <c r="C117" s="87" t="s">
        <v>67</v>
      </c>
      <c r="D117" s="87"/>
      <c r="E117" s="87"/>
      <c r="F117" s="87"/>
      <c r="G117" s="127">
        <v>226</v>
      </c>
      <c r="H117" s="21">
        <f t="shared" si="8"/>
        <v>6.4645308924485126E-2</v>
      </c>
    </row>
    <row r="118" spans="2:14" ht="15.75" customHeight="1">
      <c r="C118" s="87" t="s">
        <v>9</v>
      </c>
      <c r="D118" s="87"/>
      <c r="E118" s="87"/>
      <c r="F118" s="87"/>
      <c r="G118" s="127">
        <v>127</v>
      </c>
      <c r="H118" s="21">
        <f t="shared" si="8"/>
        <v>3.6327231121281466E-2</v>
      </c>
    </row>
    <row r="119" spans="2:14" ht="17.25" customHeight="1">
      <c r="C119" s="87" t="s">
        <v>44</v>
      </c>
      <c r="D119" s="87"/>
      <c r="E119" s="87"/>
      <c r="F119" s="87"/>
      <c r="G119" s="18">
        <v>45</v>
      </c>
      <c r="H119" s="21">
        <f t="shared" si="8"/>
        <v>1.2871853546910755E-2</v>
      </c>
    </row>
    <row r="120" spans="2:14" ht="17.25" customHeight="1">
      <c r="C120" s="36"/>
      <c r="D120" s="36"/>
      <c r="E120" s="36"/>
      <c r="F120" s="36"/>
      <c r="G120" s="16"/>
      <c r="H120" s="99"/>
    </row>
    <row r="122" spans="2:14">
      <c r="B122" s="28" t="s">
        <v>30</v>
      </c>
    </row>
    <row r="124" spans="2:14" ht="15.75" customHeight="1">
      <c r="B124" s="14"/>
      <c r="G124" s="15"/>
      <c r="H124" s="84" t="s">
        <v>42</v>
      </c>
      <c r="I124" s="85"/>
      <c r="J124" s="85"/>
      <c r="K124" s="85"/>
      <c r="L124" s="86"/>
      <c r="M124" s="15"/>
    </row>
    <row r="125" spans="2:14" ht="15.75" customHeight="1">
      <c r="B125" s="14"/>
      <c r="C125" s="91"/>
      <c r="D125" s="92"/>
      <c r="E125" s="92"/>
      <c r="F125" s="92"/>
      <c r="G125" s="35" t="s">
        <v>43</v>
      </c>
      <c r="H125" s="35">
        <v>1</v>
      </c>
      <c r="I125" s="35">
        <v>2</v>
      </c>
      <c r="J125" s="35">
        <v>3</v>
      </c>
      <c r="K125" s="35">
        <v>4</v>
      </c>
      <c r="L125" s="35">
        <v>5</v>
      </c>
      <c r="M125" s="35" t="s">
        <v>44</v>
      </c>
    </row>
    <row r="126" spans="2:14" ht="15.75" customHeight="1">
      <c r="C126" s="87" t="s">
        <v>68</v>
      </c>
      <c r="D126" s="87"/>
      <c r="E126" s="87"/>
      <c r="F126" s="87"/>
      <c r="G126" s="120">
        <v>2.9651962350560481</v>
      </c>
      <c r="H126" s="29">
        <v>339</v>
      </c>
      <c r="I126" s="29">
        <v>740</v>
      </c>
      <c r="J126" s="29">
        <v>1283</v>
      </c>
      <c r="K126" s="29">
        <v>865</v>
      </c>
      <c r="L126" s="29">
        <v>210</v>
      </c>
      <c r="M126" s="128">
        <v>59</v>
      </c>
      <c r="N126" s="64"/>
    </row>
    <row r="127" spans="2:14" ht="15.75" customHeight="1">
      <c r="C127" s="87" t="s">
        <v>69</v>
      </c>
      <c r="D127" s="87"/>
      <c r="E127" s="87"/>
      <c r="F127" s="87"/>
      <c r="G127" s="120">
        <v>2.9623124600517241</v>
      </c>
      <c r="H127" s="128">
        <v>314</v>
      </c>
      <c r="I127" s="128">
        <v>749</v>
      </c>
      <c r="J127" s="128">
        <v>1309</v>
      </c>
      <c r="K127" s="128">
        <v>866</v>
      </c>
      <c r="L127" s="128">
        <v>194</v>
      </c>
      <c r="M127" s="128">
        <v>64</v>
      </c>
      <c r="N127" s="64"/>
    </row>
    <row r="128" spans="2:14" ht="15.75" customHeight="1">
      <c r="C128" s="87" t="s">
        <v>70</v>
      </c>
      <c r="D128" s="87"/>
      <c r="E128" s="87"/>
      <c r="F128" s="87"/>
      <c r="G128" s="120">
        <v>2.5386256071408422</v>
      </c>
      <c r="H128" s="129">
        <v>707</v>
      </c>
      <c r="I128" s="128">
        <v>943</v>
      </c>
      <c r="J128" s="128">
        <v>1144</v>
      </c>
      <c r="K128" s="128">
        <v>517</v>
      </c>
      <c r="L128" s="128">
        <v>121</v>
      </c>
      <c r="M128" s="128">
        <v>64</v>
      </c>
      <c r="N128" s="64"/>
    </row>
    <row r="129" spans="2:16" ht="15.75" customHeight="1">
      <c r="C129" s="87" t="s">
        <v>71</v>
      </c>
      <c r="D129" s="87"/>
      <c r="E129" s="87"/>
      <c r="F129" s="87"/>
      <c r="G129" s="120">
        <v>2.8588299979956675</v>
      </c>
      <c r="H129" s="129">
        <v>344</v>
      </c>
      <c r="I129" s="128">
        <v>809</v>
      </c>
      <c r="J129" s="128">
        <v>1401</v>
      </c>
      <c r="K129" s="128">
        <v>738</v>
      </c>
      <c r="L129" s="128">
        <v>140</v>
      </c>
      <c r="M129" s="128">
        <v>64</v>
      </c>
      <c r="N129" s="65"/>
    </row>
    <row r="130" spans="2:16" ht="15.75" customHeight="1">
      <c r="C130" s="87" t="s">
        <v>72</v>
      </c>
      <c r="D130" s="87"/>
      <c r="E130" s="87"/>
      <c r="F130" s="87"/>
      <c r="G130" s="120">
        <v>2.6569950738844827</v>
      </c>
      <c r="H130" s="129">
        <v>498</v>
      </c>
      <c r="I130" s="128">
        <v>934</v>
      </c>
      <c r="J130" s="128">
        <v>1365</v>
      </c>
      <c r="K130" s="128">
        <v>518</v>
      </c>
      <c r="L130" s="128">
        <v>115</v>
      </c>
      <c r="M130" s="128">
        <v>66</v>
      </c>
      <c r="N130" s="64"/>
      <c r="P130" s="62"/>
    </row>
    <row r="131" spans="2:16" ht="15.75" customHeight="1">
      <c r="C131" s="87" t="s">
        <v>73</v>
      </c>
      <c r="D131" s="87"/>
      <c r="E131" s="87"/>
      <c r="F131" s="87"/>
      <c r="G131" s="120">
        <v>2.7086413421242606</v>
      </c>
      <c r="H131" s="129">
        <v>618</v>
      </c>
      <c r="I131" s="128">
        <v>849</v>
      </c>
      <c r="J131" s="128">
        <v>1111</v>
      </c>
      <c r="K131" s="128">
        <v>614</v>
      </c>
      <c r="L131" s="128">
        <v>232</v>
      </c>
      <c r="M131" s="29">
        <v>72</v>
      </c>
      <c r="N131" s="64"/>
    </row>
    <row r="132" spans="2:16">
      <c r="B132" s="14"/>
      <c r="C132" s="41"/>
      <c r="D132" s="42"/>
      <c r="E132" s="43"/>
      <c r="F132" s="43"/>
      <c r="G132" s="43"/>
      <c r="H132" s="43"/>
      <c r="I132" s="44"/>
    </row>
    <row r="134" spans="2:16">
      <c r="B134" s="28" t="s">
        <v>31</v>
      </c>
    </row>
    <row r="136" spans="2:16" s="22" customFormat="1" ht="15.75" customHeight="1">
      <c r="B136" s="5"/>
      <c r="C136" s="46"/>
      <c r="D136" s="46"/>
      <c r="G136" s="57" t="s">
        <v>22</v>
      </c>
      <c r="H136" s="57" t="s">
        <v>87</v>
      </c>
    </row>
    <row r="137" spans="2:16" s="22" customFormat="1" ht="15.75" customHeight="1">
      <c r="C137" s="87" t="s">
        <v>61</v>
      </c>
      <c r="D137" s="87"/>
      <c r="E137" s="87"/>
      <c r="F137" s="87"/>
      <c r="G137" s="51">
        <v>975</v>
      </c>
      <c r="H137" s="21">
        <f t="shared" ref="H137:H144" si="9">G137/$M$10</f>
        <v>0.27889016018306634</v>
      </c>
    </row>
    <row r="138" spans="2:16" s="22" customFormat="1" ht="15.75" customHeight="1">
      <c r="C138" s="87" t="s">
        <v>63</v>
      </c>
      <c r="D138" s="87"/>
      <c r="E138" s="87"/>
      <c r="F138" s="87"/>
      <c r="G138" s="18">
        <v>329</v>
      </c>
      <c r="H138" s="21">
        <f t="shared" si="9"/>
        <v>9.410755148741419E-2</v>
      </c>
    </row>
    <row r="139" spans="2:16" s="22" customFormat="1" ht="15.75" customHeight="1">
      <c r="C139" s="87" t="s">
        <v>67</v>
      </c>
      <c r="D139" s="87"/>
      <c r="E139" s="87"/>
      <c r="F139" s="87"/>
      <c r="G139" s="127">
        <v>84</v>
      </c>
      <c r="H139" s="21">
        <f t="shared" si="9"/>
        <v>2.4027459954233409E-2</v>
      </c>
    </row>
    <row r="140" spans="2:16" s="22" customFormat="1" ht="15.75" customHeight="1">
      <c r="C140" s="87" t="s">
        <v>74</v>
      </c>
      <c r="D140" s="87"/>
      <c r="E140" s="87"/>
      <c r="F140" s="87"/>
      <c r="G140" s="127">
        <v>1821</v>
      </c>
      <c r="H140" s="21">
        <f t="shared" si="9"/>
        <v>0.52088100686498851</v>
      </c>
    </row>
    <row r="141" spans="2:16" s="22" customFormat="1" ht="15.75" customHeight="1">
      <c r="C141" s="87" t="s">
        <v>90</v>
      </c>
      <c r="D141" s="87"/>
      <c r="E141" s="87"/>
      <c r="F141" s="87"/>
      <c r="G141" s="127">
        <v>1114</v>
      </c>
      <c r="H141" s="21">
        <f t="shared" si="9"/>
        <v>0.31864988558352403</v>
      </c>
    </row>
    <row r="142" spans="2:16" s="22" customFormat="1" ht="15.75" customHeight="1">
      <c r="C142" s="87" t="s">
        <v>75</v>
      </c>
      <c r="D142" s="87"/>
      <c r="E142" s="87"/>
      <c r="F142" s="87"/>
      <c r="G142" s="127">
        <v>1645</v>
      </c>
      <c r="H142" s="21">
        <f t="shared" si="9"/>
        <v>0.47053775743707094</v>
      </c>
    </row>
    <row r="143" spans="2:16" s="22" customFormat="1" ht="15.75" customHeight="1">
      <c r="C143" s="87" t="s">
        <v>9</v>
      </c>
      <c r="D143" s="87"/>
      <c r="E143" s="87"/>
      <c r="F143" s="87"/>
      <c r="G143" s="127">
        <v>284</v>
      </c>
      <c r="H143" s="21">
        <f t="shared" si="9"/>
        <v>8.1235697940503435E-2</v>
      </c>
    </row>
    <row r="144" spans="2:16" ht="17.25" customHeight="1">
      <c r="C144" s="87" t="s">
        <v>44</v>
      </c>
      <c r="D144" s="87"/>
      <c r="E144" s="87"/>
      <c r="F144" s="87"/>
      <c r="G144" s="18">
        <v>76</v>
      </c>
      <c r="H144" s="21">
        <f t="shared" si="9"/>
        <v>2.1739130434782608E-2</v>
      </c>
    </row>
    <row r="147" spans="2:2">
      <c r="B147" s="1" t="s">
        <v>98</v>
      </c>
    </row>
    <row r="150" spans="2:2">
      <c r="B150" s="52" t="s">
        <v>89</v>
      </c>
    </row>
    <row r="151" spans="2:2">
      <c r="B151" s="52" t="s">
        <v>99</v>
      </c>
    </row>
  </sheetData>
  <mergeCells count="88">
    <mergeCell ref="D34:F34"/>
    <mergeCell ref="C71:F71"/>
    <mergeCell ref="C95:F95"/>
    <mergeCell ref="C119:F119"/>
    <mergeCell ref="C144:F144"/>
    <mergeCell ref="C139:F139"/>
    <mergeCell ref="C140:F140"/>
    <mergeCell ref="C141:F141"/>
    <mergeCell ref="C142:F142"/>
    <mergeCell ref="C143:F143"/>
    <mergeCell ref="C138:F138"/>
    <mergeCell ref="C117:F117"/>
    <mergeCell ref="C118:F118"/>
    <mergeCell ref="H124:L124"/>
    <mergeCell ref="C125:F125"/>
    <mergeCell ref="C126:F126"/>
    <mergeCell ref="C127:F127"/>
    <mergeCell ref="C128:F128"/>
    <mergeCell ref="C129:F129"/>
    <mergeCell ref="C130:F130"/>
    <mergeCell ref="C131:F131"/>
    <mergeCell ref="C137:F137"/>
    <mergeCell ref="C116:F116"/>
    <mergeCell ref="D100:F100"/>
    <mergeCell ref="D101:F101"/>
    <mergeCell ref="D102:F102"/>
    <mergeCell ref="D103:F103"/>
    <mergeCell ref="D104:F104"/>
    <mergeCell ref="D105:F105"/>
    <mergeCell ref="C111:F111"/>
    <mergeCell ref="C112:F112"/>
    <mergeCell ref="C113:F113"/>
    <mergeCell ref="C114:F114"/>
    <mergeCell ref="C115:F115"/>
    <mergeCell ref="D99:F99"/>
    <mergeCell ref="C78:F78"/>
    <mergeCell ref="C79:F79"/>
    <mergeCell ref="C80:F80"/>
    <mergeCell ref="C81:F81"/>
    <mergeCell ref="C82:F82"/>
    <mergeCell ref="C83:F83"/>
    <mergeCell ref="C91:F91"/>
    <mergeCell ref="C92:F92"/>
    <mergeCell ref="C93:F93"/>
    <mergeCell ref="C94:F94"/>
    <mergeCell ref="D98:F98"/>
    <mergeCell ref="H76:L76"/>
    <mergeCell ref="C55:F55"/>
    <mergeCell ref="C56:F56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L45:L46"/>
    <mergeCell ref="C46:F46"/>
    <mergeCell ref="C47:F47"/>
    <mergeCell ref="G48:H48"/>
    <mergeCell ref="C53:F53"/>
    <mergeCell ref="C54:F54"/>
    <mergeCell ref="B38:J38"/>
    <mergeCell ref="C41:F41"/>
    <mergeCell ref="C42:F42"/>
    <mergeCell ref="C43:F43"/>
    <mergeCell ref="C44:F44"/>
    <mergeCell ref="C45:F45"/>
    <mergeCell ref="D33:F33"/>
    <mergeCell ref="C15:F15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B2:Q2"/>
    <mergeCell ref="F4:N4"/>
    <mergeCell ref="G8:J8"/>
    <mergeCell ref="C9:F9"/>
    <mergeCell ref="C10:F10"/>
    <mergeCell ref="G13:N13"/>
    <mergeCell ref="C14:F14"/>
  </mergeCells>
  <pageMargins left="2.2999999999999998" right="0.70866141732283472" top="0.74803149606299213" bottom="0.74803149606299213" header="0.31496062992125984" footer="0.31496062992125984"/>
  <pageSetup paperSize="9" scale="54" fitToHeight="3" orientation="landscape" r:id="rId1"/>
  <rowBreaks count="2" manualBreakCount="2">
    <brk id="4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S150"/>
  <sheetViews>
    <sheetView showGridLines="0" zoomScaleNormal="100" workbookViewId="0"/>
  </sheetViews>
  <sheetFormatPr defaultRowHeight="12.75"/>
  <cols>
    <col min="1" max="1" width="5.140625" style="1" customWidth="1"/>
    <col min="2" max="2" width="13.140625" style="1" customWidth="1"/>
    <col min="3" max="3" width="14.7109375" style="1" customWidth="1"/>
    <col min="4" max="4" width="13.140625" style="1" customWidth="1"/>
    <col min="5" max="5" width="13.42578125" style="1" customWidth="1"/>
    <col min="6" max="6" width="13.140625" style="1" customWidth="1"/>
    <col min="7" max="7" width="12" style="1" bestFit="1" customWidth="1"/>
    <col min="8" max="8" width="11" style="1" customWidth="1"/>
    <col min="9" max="11" width="9.140625" style="1"/>
    <col min="12" max="12" width="9.5703125" style="1" bestFit="1" customWidth="1"/>
    <col min="13" max="13" width="9.140625" style="1"/>
    <col min="14" max="14" width="10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6384" width="9.140625" style="1"/>
  </cols>
  <sheetData>
    <row r="2" spans="2:17" ht="50.25" customHeight="1">
      <c r="B2" s="68" t="s">
        <v>86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4" spans="2:17" ht="32.25" customHeight="1">
      <c r="F4" s="69" t="s">
        <v>92</v>
      </c>
      <c r="G4" s="69"/>
      <c r="H4" s="69"/>
      <c r="I4" s="69"/>
      <c r="J4" s="69"/>
      <c r="K4" s="69"/>
      <c r="L4" s="69"/>
      <c r="M4" s="69"/>
      <c r="N4" s="69"/>
    </row>
    <row r="6" spans="2:17">
      <c r="B6" s="28" t="s">
        <v>84</v>
      </c>
    </row>
    <row r="8" spans="2:17" s="25" customFormat="1" ht="17.25" customHeight="1">
      <c r="G8" s="70" t="s">
        <v>2</v>
      </c>
      <c r="H8" s="70"/>
      <c r="I8" s="70"/>
      <c r="J8" s="70"/>
      <c r="K8" s="22"/>
      <c r="L8" s="22"/>
    </row>
    <row r="9" spans="2:17" s="25" customFormat="1" ht="17.25" customHeight="1">
      <c r="C9" s="93"/>
      <c r="D9" s="93"/>
      <c r="E9" s="93"/>
      <c r="F9" s="94"/>
      <c r="G9" s="66" t="s">
        <v>3</v>
      </c>
      <c r="H9" s="24" t="s">
        <v>23</v>
      </c>
      <c r="I9" s="66" t="s">
        <v>4</v>
      </c>
      <c r="J9" s="24" t="s">
        <v>23</v>
      </c>
      <c r="K9" s="66" t="s">
        <v>44</v>
      </c>
      <c r="L9" s="24" t="s">
        <v>23</v>
      </c>
      <c r="M9" s="67" t="s">
        <v>1</v>
      </c>
      <c r="N9" s="96"/>
    </row>
    <row r="10" spans="2:17" s="25" customFormat="1" ht="17.25" customHeight="1">
      <c r="C10" s="74" t="s">
        <v>91</v>
      </c>
      <c r="D10" s="74"/>
      <c r="E10" s="74"/>
      <c r="F10" s="74"/>
      <c r="G10" s="95">
        <f>1602+1034</f>
        <v>2636</v>
      </c>
      <c r="H10" s="54">
        <f>G10/M10</f>
        <v>0.75400457665903886</v>
      </c>
      <c r="I10" s="95">
        <f>439+408</f>
        <v>847</v>
      </c>
      <c r="J10" s="54">
        <f>I10/M10</f>
        <v>0.24227688787185356</v>
      </c>
      <c r="K10" s="95">
        <v>13</v>
      </c>
      <c r="L10" s="54">
        <f>K10/M10</f>
        <v>3.7185354691075517E-3</v>
      </c>
      <c r="M10" s="98">
        <f>SUM(G10,I10,K10)</f>
        <v>3496</v>
      </c>
      <c r="N10" s="97"/>
    </row>
    <row r="11" spans="2:17">
      <c r="C11" s="6"/>
      <c r="D11" s="6"/>
      <c r="E11" s="6"/>
      <c r="F11" s="6"/>
      <c r="G11" s="7"/>
      <c r="H11" s="7"/>
      <c r="I11" s="7"/>
    </row>
    <row r="13" spans="2:17" ht="17.25" customHeight="1">
      <c r="G13" s="75" t="s">
        <v>5</v>
      </c>
      <c r="H13" s="75"/>
      <c r="I13" s="75"/>
      <c r="J13" s="75"/>
      <c r="K13" s="75"/>
      <c r="L13" s="75"/>
      <c r="M13" s="75"/>
      <c r="N13" s="75"/>
      <c r="O13" s="22"/>
      <c r="P13" s="22"/>
    </row>
    <row r="14" spans="2:17" ht="17.25" customHeight="1">
      <c r="C14" s="93" t="s">
        <v>0</v>
      </c>
      <c r="D14" s="93"/>
      <c r="E14" s="93"/>
      <c r="F14" s="94"/>
      <c r="G14" s="66" t="s">
        <v>6</v>
      </c>
      <c r="H14" s="24" t="s">
        <v>23</v>
      </c>
      <c r="I14" s="66" t="s">
        <v>7</v>
      </c>
      <c r="J14" s="24" t="s">
        <v>23</v>
      </c>
      <c r="K14" s="66" t="s">
        <v>8</v>
      </c>
      <c r="L14" s="24" t="s">
        <v>23</v>
      </c>
      <c r="M14" s="66" t="s">
        <v>9</v>
      </c>
      <c r="N14" s="24" t="s">
        <v>23</v>
      </c>
      <c r="O14" s="66" t="s">
        <v>44</v>
      </c>
      <c r="P14" s="24" t="s">
        <v>23</v>
      </c>
      <c r="Q14" s="67" t="s">
        <v>1</v>
      </c>
    </row>
    <row r="15" spans="2:17" ht="17.25" customHeight="1">
      <c r="C15" s="74" t="s">
        <v>91</v>
      </c>
      <c r="D15" s="74"/>
      <c r="E15" s="74"/>
      <c r="F15" s="74"/>
      <c r="G15" s="53">
        <f>351+313</f>
        <v>664</v>
      </c>
      <c r="H15" s="54">
        <f>G15/M10</f>
        <v>0.18993135011441648</v>
      </c>
      <c r="I15" s="95">
        <f>1151+871</f>
        <v>2022</v>
      </c>
      <c r="J15" s="54">
        <f>I15/M10</f>
        <v>0.57837528604118993</v>
      </c>
      <c r="K15" s="55">
        <f>383+308</f>
        <v>691</v>
      </c>
      <c r="L15" s="54">
        <f>K15/M10</f>
        <v>0.19765446224256292</v>
      </c>
      <c r="M15" s="55">
        <f>156+87</f>
        <v>243</v>
      </c>
      <c r="N15" s="54">
        <f>M15/M10</f>
        <v>6.9508009153318076E-2</v>
      </c>
      <c r="O15" s="95">
        <v>25</v>
      </c>
      <c r="P15" s="54">
        <f>O15/M10</f>
        <v>7.1510297482837533E-3</v>
      </c>
      <c r="Q15" s="98">
        <f>SUM(G15,I15,K15,M15,O15)</f>
        <v>3645</v>
      </c>
    </row>
    <row r="17" spans="3:11">
      <c r="D17" s="26" t="s">
        <v>76</v>
      </c>
    </row>
    <row r="20" spans="3:11">
      <c r="C20" s="28" t="s">
        <v>10</v>
      </c>
    </row>
    <row r="21" spans="3:11">
      <c r="C21" s="27" t="s">
        <v>11</v>
      </c>
    </row>
    <row r="23" spans="3:11" ht="17.25" customHeight="1">
      <c r="G23" s="66" t="s">
        <v>93</v>
      </c>
      <c r="H23" s="24" t="s">
        <v>23</v>
      </c>
      <c r="I23" s="66" t="s">
        <v>94</v>
      </c>
      <c r="J23" s="24" t="s">
        <v>23</v>
      </c>
      <c r="K23" s="67" t="s">
        <v>1</v>
      </c>
    </row>
    <row r="24" spans="3:11" ht="17.25" customHeight="1">
      <c r="D24" s="71" t="s">
        <v>12</v>
      </c>
      <c r="E24" s="72"/>
      <c r="F24" s="73"/>
      <c r="G24" s="104">
        <f>226+160</f>
        <v>386</v>
      </c>
      <c r="H24" s="23">
        <f>G24/K24</f>
        <v>0.6954954954954955</v>
      </c>
      <c r="I24" s="102">
        <f>80+89</f>
        <v>169</v>
      </c>
      <c r="J24" s="23">
        <f>I24/K24</f>
        <v>0.3045045045045045</v>
      </c>
      <c r="K24" s="103">
        <f>+I24+G24</f>
        <v>555</v>
      </c>
    </row>
    <row r="25" spans="3:11" ht="17.25" customHeight="1">
      <c r="D25" s="71" t="s">
        <v>13</v>
      </c>
      <c r="E25" s="72"/>
      <c r="F25" s="73"/>
      <c r="G25" s="104">
        <f>111+78</f>
        <v>189</v>
      </c>
      <c r="H25" s="23">
        <f t="shared" ref="H25:H34" si="0">G25/K25</f>
        <v>0.74117647058823533</v>
      </c>
      <c r="I25" s="102">
        <f>38+28</f>
        <v>66</v>
      </c>
      <c r="J25" s="23">
        <f t="shared" ref="J25:J34" si="1">I25/K25</f>
        <v>0.25882352941176473</v>
      </c>
      <c r="K25" s="103">
        <f t="shared" ref="K25:K34" si="2">+I25+G25</f>
        <v>255</v>
      </c>
    </row>
    <row r="26" spans="3:11" ht="17.25" customHeight="1">
      <c r="D26" s="71" t="s">
        <v>14</v>
      </c>
      <c r="E26" s="72"/>
      <c r="F26" s="73"/>
      <c r="G26" s="104">
        <f>749+437</f>
        <v>1186</v>
      </c>
      <c r="H26" s="23">
        <f t="shared" si="0"/>
        <v>0.76319176319176318</v>
      </c>
      <c r="I26" s="102">
        <f>159+209</f>
        <v>368</v>
      </c>
      <c r="J26" s="23">
        <f t="shared" si="1"/>
        <v>0.23680823680823682</v>
      </c>
      <c r="K26" s="103">
        <f t="shared" si="2"/>
        <v>1554</v>
      </c>
    </row>
    <row r="27" spans="3:11" ht="17.25" customHeight="1">
      <c r="D27" s="71" t="s">
        <v>15</v>
      </c>
      <c r="E27" s="72"/>
      <c r="F27" s="73"/>
      <c r="G27" s="104">
        <f>81+74</f>
        <v>155</v>
      </c>
      <c r="H27" s="23">
        <f t="shared" si="0"/>
        <v>0.74162679425837319</v>
      </c>
      <c r="I27" s="102">
        <f>22+32</f>
        <v>54</v>
      </c>
      <c r="J27" s="23">
        <f t="shared" si="1"/>
        <v>0.25837320574162681</v>
      </c>
      <c r="K27" s="103">
        <f t="shared" si="2"/>
        <v>209</v>
      </c>
    </row>
    <row r="28" spans="3:11" ht="17.25" customHeight="1">
      <c r="D28" s="71" t="s">
        <v>16</v>
      </c>
      <c r="E28" s="72"/>
      <c r="F28" s="73"/>
      <c r="G28" s="104">
        <f>163+66</f>
        <v>229</v>
      </c>
      <c r="H28" s="23">
        <f t="shared" si="0"/>
        <v>0.70679012345679015</v>
      </c>
      <c r="I28" s="102">
        <f>64+31</f>
        <v>95</v>
      </c>
      <c r="J28" s="23">
        <f t="shared" si="1"/>
        <v>0.2932098765432099</v>
      </c>
      <c r="K28" s="103">
        <f t="shared" si="2"/>
        <v>324</v>
      </c>
    </row>
    <row r="29" spans="3:11" ht="17.25" customHeight="1">
      <c r="D29" s="71" t="s">
        <v>17</v>
      </c>
      <c r="E29" s="72"/>
      <c r="F29" s="73"/>
      <c r="G29" s="104">
        <f>537+222</f>
        <v>759</v>
      </c>
      <c r="H29" s="23">
        <f t="shared" si="0"/>
        <v>0.74925962487660414</v>
      </c>
      <c r="I29" s="102">
        <f>148+106</f>
        <v>254</v>
      </c>
      <c r="J29" s="23">
        <f t="shared" si="1"/>
        <v>0.25074037512339586</v>
      </c>
      <c r="K29" s="103">
        <f t="shared" si="2"/>
        <v>1013</v>
      </c>
    </row>
    <row r="30" spans="3:11" ht="17.25" customHeight="1">
      <c r="D30" s="71" t="s">
        <v>18</v>
      </c>
      <c r="E30" s="72"/>
      <c r="F30" s="73"/>
      <c r="G30" s="104">
        <f>322+235</f>
        <v>557</v>
      </c>
      <c r="H30" s="23">
        <f t="shared" si="0"/>
        <v>0.81195335276967928</v>
      </c>
      <c r="I30" s="102">
        <f>70+59</f>
        <v>129</v>
      </c>
      <c r="J30" s="23">
        <f t="shared" si="1"/>
        <v>0.18804664723032069</v>
      </c>
      <c r="K30" s="103">
        <f t="shared" si="2"/>
        <v>686</v>
      </c>
    </row>
    <row r="31" spans="3:11" ht="17.25" customHeight="1">
      <c r="D31" s="71" t="s">
        <v>19</v>
      </c>
      <c r="E31" s="72"/>
      <c r="F31" s="73"/>
      <c r="G31" s="104">
        <f>149+131</f>
        <v>280</v>
      </c>
      <c r="H31" s="23">
        <f t="shared" si="0"/>
        <v>0.82595870206489674</v>
      </c>
      <c r="I31" s="102">
        <f>23+36</f>
        <v>59</v>
      </c>
      <c r="J31" s="23">
        <f t="shared" si="1"/>
        <v>0.17404129793510326</v>
      </c>
      <c r="K31" s="103">
        <f t="shared" si="2"/>
        <v>339</v>
      </c>
    </row>
    <row r="32" spans="3:11" ht="17.25" customHeight="1">
      <c r="D32" s="71" t="s">
        <v>20</v>
      </c>
      <c r="E32" s="72"/>
      <c r="F32" s="73"/>
      <c r="G32" s="104">
        <f>138+60</f>
        <v>198</v>
      </c>
      <c r="H32" s="23">
        <f t="shared" si="0"/>
        <v>0.82845188284518834</v>
      </c>
      <c r="I32" s="102">
        <f>25+16</f>
        <v>41</v>
      </c>
      <c r="J32" s="23">
        <f t="shared" si="1"/>
        <v>0.17154811715481172</v>
      </c>
      <c r="K32" s="103">
        <f t="shared" si="2"/>
        <v>239</v>
      </c>
    </row>
    <row r="33" spans="2:13" ht="30" customHeight="1">
      <c r="D33" s="71" t="s">
        <v>21</v>
      </c>
      <c r="E33" s="72"/>
      <c r="F33" s="73"/>
      <c r="G33" s="104">
        <f>338+143</f>
        <v>481</v>
      </c>
      <c r="H33" s="23">
        <f t="shared" si="0"/>
        <v>0.72989377845220027</v>
      </c>
      <c r="I33" s="102">
        <f>108+70</f>
        <v>178</v>
      </c>
      <c r="J33" s="23">
        <f t="shared" si="1"/>
        <v>0.27010622154779967</v>
      </c>
      <c r="K33" s="103">
        <f t="shared" si="2"/>
        <v>659</v>
      </c>
    </row>
    <row r="34" spans="2:13" ht="17.25" customHeight="1">
      <c r="D34" s="71" t="s">
        <v>44</v>
      </c>
      <c r="E34" s="72"/>
      <c r="F34" s="73"/>
      <c r="G34" s="104">
        <v>10</v>
      </c>
      <c r="H34" s="23">
        <f t="shared" si="0"/>
        <v>0.7142857142857143</v>
      </c>
      <c r="I34" s="102">
        <v>4</v>
      </c>
      <c r="J34" s="23">
        <f t="shared" si="1"/>
        <v>0.2857142857142857</v>
      </c>
      <c r="K34" s="103">
        <f t="shared" si="2"/>
        <v>14</v>
      </c>
    </row>
    <row r="38" spans="2:13">
      <c r="B38" s="79" t="s">
        <v>77</v>
      </c>
      <c r="C38" s="79"/>
      <c r="D38" s="79"/>
      <c r="E38" s="79"/>
      <c r="F38" s="79"/>
      <c r="G38" s="79"/>
      <c r="H38" s="79"/>
      <c r="I38" s="79"/>
      <c r="J38" s="79"/>
    </row>
    <row r="40" spans="2:13" s="25" customFormat="1" ht="17.25" customHeight="1">
      <c r="C40" s="2"/>
      <c r="F40" s="8"/>
      <c r="G40" s="66" t="s">
        <v>93</v>
      </c>
      <c r="H40" s="24" t="s">
        <v>23</v>
      </c>
      <c r="I40" s="66" t="s">
        <v>94</v>
      </c>
      <c r="J40" s="24" t="s">
        <v>23</v>
      </c>
      <c r="K40" s="67" t="s">
        <v>1</v>
      </c>
      <c r="L40" s="8"/>
    </row>
    <row r="41" spans="2:13" s="25" customFormat="1" ht="17.25" customHeight="1">
      <c r="C41" s="80" t="s">
        <v>32</v>
      </c>
      <c r="D41" s="80"/>
      <c r="E41" s="80"/>
      <c r="F41" s="80"/>
      <c r="G41" s="104">
        <f>1333+816</f>
        <v>2149</v>
      </c>
      <c r="H41" s="23">
        <f>G41/K41</f>
        <v>0.76043878273177634</v>
      </c>
      <c r="I41" s="20">
        <f>337+340</f>
        <v>677</v>
      </c>
      <c r="J41" s="23">
        <f>I41/K41</f>
        <v>0.23956121726822363</v>
      </c>
      <c r="K41" s="103">
        <f>+I41+G41</f>
        <v>2826</v>
      </c>
      <c r="L41" s="8"/>
      <c r="M41" s="107"/>
    </row>
    <row r="42" spans="2:13" s="25" customFormat="1" ht="17.25" customHeight="1">
      <c r="C42" s="80" t="s">
        <v>33</v>
      </c>
      <c r="D42" s="80"/>
      <c r="E42" s="80"/>
      <c r="F42" s="80"/>
      <c r="G42" s="104">
        <f>671+433</f>
        <v>1104</v>
      </c>
      <c r="H42" s="23">
        <f>G42/K42</f>
        <v>0.79253409906676242</v>
      </c>
      <c r="I42" s="20">
        <f>158+131</f>
        <v>289</v>
      </c>
      <c r="J42" s="23">
        <f>I42/K42</f>
        <v>0.20746590093323761</v>
      </c>
      <c r="K42" s="103">
        <f>+I42+G42</f>
        <v>1393</v>
      </c>
      <c r="L42" s="8"/>
      <c r="M42" s="107"/>
    </row>
    <row r="43" spans="2:13" s="25" customFormat="1" ht="17.25" customHeight="1">
      <c r="C43" s="80" t="s">
        <v>34</v>
      </c>
      <c r="D43" s="80"/>
      <c r="E43" s="80"/>
      <c r="F43" s="81"/>
      <c r="G43" s="100"/>
      <c r="H43" s="101"/>
      <c r="I43" s="8"/>
      <c r="J43" s="8"/>
      <c r="K43" s="133"/>
      <c r="L43" s="8"/>
      <c r="M43" s="107"/>
    </row>
    <row r="44" spans="2:13" s="25" customFormat="1" ht="17.25" customHeight="1">
      <c r="C44" s="80" t="s">
        <v>78</v>
      </c>
      <c r="D44" s="80"/>
      <c r="E44" s="80"/>
      <c r="F44" s="80"/>
      <c r="G44" s="109">
        <f>232+67</f>
        <v>299</v>
      </c>
      <c r="H44" s="23">
        <f t="shared" ref="H44:H47" si="3">G44/K44</f>
        <v>0.75888324873096447</v>
      </c>
      <c r="I44" s="108">
        <f>71+24</f>
        <v>95</v>
      </c>
      <c r="J44" s="23">
        <f t="shared" ref="J44:J47" si="4">I44/K44</f>
        <v>0.24111675126903553</v>
      </c>
      <c r="K44" s="103">
        <f t="shared" ref="K44:K47" si="5">+I44+G44</f>
        <v>394</v>
      </c>
      <c r="L44" s="8"/>
      <c r="M44" s="107"/>
    </row>
    <row r="45" spans="2:13" s="25" customFormat="1" ht="17.25" customHeight="1">
      <c r="C45" s="80" t="s">
        <v>79</v>
      </c>
      <c r="D45" s="80"/>
      <c r="E45" s="80"/>
      <c r="F45" s="80"/>
      <c r="G45" s="110">
        <f>185+38</f>
        <v>223</v>
      </c>
      <c r="H45" s="23">
        <f t="shared" si="3"/>
        <v>0.82287822878228778</v>
      </c>
      <c r="I45" s="108">
        <f>40+8</f>
        <v>48</v>
      </c>
      <c r="J45" s="23">
        <f t="shared" si="4"/>
        <v>0.17712177121771217</v>
      </c>
      <c r="K45" s="103">
        <f t="shared" si="5"/>
        <v>271</v>
      </c>
      <c r="L45" s="82"/>
      <c r="M45" s="107"/>
    </row>
    <row r="46" spans="2:13" s="25" customFormat="1" ht="17.25" customHeight="1">
      <c r="C46" s="80" t="s">
        <v>80</v>
      </c>
      <c r="D46" s="80"/>
      <c r="E46" s="80"/>
      <c r="F46" s="80"/>
      <c r="G46" s="110">
        <f>188+35</f>
        <v>223</v>
      </c>
      <c r="H46" s="23">
        <f t="shared" si="3"/>
        <v>0.79928315412186379</v>
      </c>
      <c r="I46" s="108">
        <f>45+11</f>
        <v>56</v>
      </c>
      <c r="J46" s="23">
        <f t="shared" si="4"/>
        <v>0.20071684587813621</v>
      </c>
      <c r="K46" s="103">
        <f t="shared" si="5"/>
        <v>279</v>
      </c>
      <c r="L46" s="82"/>
      <c r="M46" s="107"/>
    </row>
    <row r="47" spans="2:13" s="25" customFormat="1" ht="17.25" customHeight="1">
      <c r="C47" s="80" t="s">
        <v>9</v>
      </c>
      <c r="D47" s="80"/>
      <c r="E47" s="80"/>
      <c r="F47" s="80"/>
      <c r="G47" s="110">
        <f>168+52</f>
        <v>220</v>
      </c>
      <c r="H47" s="23">
        <f t="shared" si="3"/>
        <v>0.8</v>
      </c>
      <c r="I47" s="108">
        <f>33+22</f>
        <v>55</v>
      </c>
      <c r="J47" s="23">
        <f t="shared" si="4"/>
        <v>0.2</v>
      </c>
      <c r="K47" s="103">
        <f t="shared" si="5"/>
        <v>275</v>
      </c>
      <c r="L47" s="12"/>
      <c r="M47" s="107"/>
    </row>
    <row r="48" spans="2:13">
      <c r="C48" s="10"/>
      <c r="D48" s="13"/>
      <c r="E48" s="3"/>
      <c r="F48" s="8"/>
      <c r="G48" s="83"/>
      <c r="H48" s="83"/>
      <c r="I48" s="105"/>
      <c r="J48" s="12"/>
      <c r="K48" s="12"/>
      <c r="L48" s="12"/>
    </row>
    <row r="49" spans="2:13">
      <c r="C49" s="2"/>
      <c r="D49" s="13"/>
      <c r="E49" s="3"/>
      <c r="F49" s="8"/>
      <c r="G49" s="8"/>
      <c r="H49" s="8"/>
      <c r="I49" s="8"/>
      <c r="J49" s="8"/>
      <c r="K49" s="8"/>
      <c r="L49" s="8"/>
    </row>
    <row r="50" spans="2:13">
      <c r="B50" s="28" t="s">
        <v>24</v>
      </c>
    </row>
    <row r="52" spans="2:13" ht="17.25" customHeight="1">
      <c r="C52" s="2"/>
      <c r="G52" s="66" t="s">
        <v>93</v>
      </c>
      <c r="H52" s="24" t="s">
        <v>23</v>
      </c>
      <c r="I52" s="66" t="s">
        <v>94</v>
      </c>
      <c r="J52" s="24" t="s">
        <v>23</v>
      </c>
      <c r="K52" s="67" t="s">
        <v>1</v>
      </c>
    </row>
    <row r="53" spans="2:13" ht="17.25" customHeight="1">
      <c r="C53" s="80" t="s">
        <v>35</v>
      </c>
      <c r="D53" s="80"/>
      <c r="E53" s="80"/>
      <c r="F53" s="80"/>
      <c r="G53" s="104">
        <f>625+357</f>
        <v>982</v>
      </c>
      <c r="H53" s="23">
        <f t="shared" ref="H53:H56" si="6">G53/K53</f>
        <v>0.79902359641985354</v>
      </c>
      <c r="I53" s="20">
        <f>112+135</f>
        <v>247</v>
      </c>
      <c r="J53" s="23">
        <f t="shared" ref="J53:J56" si="7">I53/K53</f>
        <v>0.20097640358014646</v>
      </c>
      <c r="K53" s="103">
        <f>+I53+G53</f>
        <v>1229</v>
      </c>
      <c r="M53" s="59"/>
    </row>
    <row r="54" spans="2:13" ht="17.25" customHeight="1">
      <c r="C54" s="76" t="s">
        <v>95</v>
      </c>
      <c r="D54" s="77"/>
      <c r="E54" s="77"/>
      <c r="F54" s="78"/>
      <c r="G54" s="104">
        <f>719+514</f>
        <v>1233</v>
      </c>
      <c r="H54" s="23">
        <f t="shared" si="6"/>
        <v>0.75320708613317044</v>
      </c>
      <c r="I54" s="20">
        <f>202+202</f>
        <v>404</v>
      </c>
      <c r="J54" s="23">
        <f t="shared" si="7"/>
        <v>0.24679291386682956</v>
      </c>
      <c r="K54" s="103">
        <f t="shared" ref="K54:K56" si="8">+I54+G54</f>
        <v>1637</v>
      </c>
      <c r="M54" s="59"/>
    </row>
    <row r="55" spans="2:13" ht="17.25" customHeight="1">
      <c r="C55" s="80" t="s">
        <v>9</v>
      </c>
      <c r="D55" s="80"/>
      <c r="E55" s="80"/>
      <c r="F55" s="80"/>
      <c r="G55" s="104">
        <f>276+161</f>
        <v>437</v>
      </c>
      <c r="H55" s="23">
        <f t="shared" si="6"/>
        <v>0.69696969696969702</v>
      </c>
      <c r="I55" s="20">
        <f>119+71</f>
        <v>190</v>
      </c>
      <c r="J55" s="23">
        <f t="shared" si="7"/>
        <v>0.30303030303030304</v>
      </c>
      <c r="K55" s="103">
        <f t="shared" si="8"/>
        <v>627</v>
      </c>
      <c r="M55" s="59"/>
    </row>
    <row r="56" spans="2:13" ht="17.25" customHeight="1">
      <c r="C56" s="80" t="s">
        <v>44</v>
      </c>
      <c r="D56" s="80"/>
      <c r="E56" s="80"/>
      <c r="F56" s="80"/>
      <c r="G56" s="104">
        <v>12</v>
      </c>
      <c r="H56" s="23">
        <f t="shared" si="6"/>
        <v>0.8</v>
      </c>
      <c r="I56" s="20">
        <v>3</v>
      </c>
      <c r="J56" s="23">
        <f t="shared" si="7"/>
        <v>0.2</v>
      </c>
      <c r="K56" s="103">
        <f t="shared" si="8"/>
        <v>15</v>
      </c>
      <c r="M56" s="59"/>
    </row>
    <row r="57" spans="2:13">
      <c r="C57" s="33"/>
      <c r="D57" s="33"/>
      <c r="E57" s="33"/>
      <c r="F57" s="33"/>
      <c r="G57" s="12"/>
      <c r="H57" s="34"/>
    </row>
    <row r="59" spans="2:13">
      <c r="B59" s="28" t="s">
        <v>25</v>
      </c>
    </row>
    <row r="61" spans="2:13" ht="17.25" customHeight="1">
      <c r="C61" s="2"/>
      <c r="D61" s="46"/>
      <c r="E61" s="46"/>
      <c r="G61" s="66" t="s">
        <v>93</v>
      </c>
      <c r="H61" s="24" t="s">
        <v>23</v>
      </c>
      <c r="I61" s="66" t="s">
        <v>94</v>
      </c>
      <c r="J61" s="24" t="s">
        <v>23</v>
      </c>
      <c r="K61" s="67" t="s">
        <v>1</v>
      </c>
    </row>
    <row r="62" spans="2:13" ht="17.25" customHeight="1">
      <c r="C62" s="87" t="s">
        <v>37</v>
      </c>
      <c r="D62" s="87"/>
      <c r="E62" s="87"/>
      <c r="F62" s="87"/>
      <c r="G62" s="104">
        <f>866+529</f>
        <v>1395</v>
      </c>
      <c r="H62" s="23">
        <f t="shared" ref="H62:H63" si="9">G62/K62</f>
        <v>0.76312910284463897</v>
      </c>
      <c r="I62" s="104">
        <f>199+234</f>
        <v>433</v>
      </c>
      <c r="J62" s="23">
        <f t="shared" ref="J62:J63" si="10">I62/K62</f>
        <v>0.23687089715536105</v>
      </c>
      <c r="K62" s="103">
        <f t="shared" ref="K62:K63" si="11">+I62+G62</f>
        <v>1828</v>
      </c>
      <c r="M62" s="59"/>
    </row>
    <row r="63" spans="2:13" ht="17.25" customHeight="1">
      <c r="C63" s="87" t="s">
        <v>38</v>
      </c>
      <c r="D63" s="87"/>
      <c r="E63" s="87"/>
      <c r="F63" s="87"/>
      <c r="G63" s="104">
        <f>269+216</f>
        <v>485</v>
      </c>
      <c r="H63" s="23">
        <f t="shared" si="9"/>
        <v>0.69985569985569984</v>
      </c>
      <c r="I63" s="104">
        <f>128+80</f>
        <v>208</v>
      </c>
      <c r="J63" s="23">
        <f t="shared" si="10"/>
        <v>0.30014430014430016</v>
      </c>
      <c r="K63" s="103">
        <f t="shared" si="11"/>
        <v>693</v>
      </c>
      <c r="M63" s="59"/>
    </row>
    <row r="64" spans="2:13" ht="17.25" customHeight="1">
      <c r="C64" s="87" t="s">
        <v>39</v>
      </c>
      <c r="D64" s="87"/>
      <c r="E64" s="87"/>
      <c r="F64" s="76"/>
      <c r="G64" s="32"/>
      <c r="H64" s="111"/>
      <c r="I64" s="112"/>
      <c r="J64" s="112"/>
      <c r="K64" s="134"/>
      <c r="M64" s="59"/>
    </row>
    <row r="65" spans="2:19" ht="17.25" customHeight="1">
      <c r="C65" s="87" t="s">
        <v>81</v>
      </c>
      <c r="D65" s="87"/>
      <c r="E65" s="87"/>
      <c r="F65" s="87"/>
      <c r="G65" s="104">
        <f>178+75</f>
        <v>253</v>
      </c>
      <c r="H65" s="23">
        <f t="shared" ref="H65:H71" si="12">G65/K65</f>
        <v>0.74852071005917165</v>
      </c>
      <c r="I65" s="104">
        <f>45+40</f>
        <v>85</v>
      </c>
      <c r="J65" s="23">
        <f t="shared" ref="J65:J70" si="13">I65/K65</f>
        <v>0.25147928994082841</v>
      </c>
      <c r="K65" s="103">
        <f t="shared" ref="K65:K70" si="14">+I65+G65</f>
        <v>338</v>
      </c>
      <c r="M65" s="59"/>
    </row>
    <row r="66" spans="2:19" ht="17.25" customHeight="1">
      <c r="C66" s="87" t="s">
        <v>82</v>
      </c>
      <c r="D66" s="87"/>
      <c r="E66" s="87"/>
      <c r="F66" s="87"/>
      <c r="G66" s="104">
        <f>247+84</f>
        <v>331</v>
      </c>
      <c r="H66" s="23">
        <f t="shared" si="12"/>
        <v>0.81728395061728398</v>
      </c>
      <c r="I66" s="104">
        <f>38+36</f>
        <v>74</v>
      </c>
      <c r="J66" s="23">
        <f t="shared" si="13"/>
        <v>0.18271604938271604</v>
      </c>
      <c r="K66" s="103">
        <f t="shared" si="14"/>
        <v>405</v>
      </c>
      <c r="M66" s="59"/>
    </row>
    <row r="67" spans="2:19" ht="17.25" customHeight="1">
      <c r="C67" s="87" t="s">
        <v>83</v>
      </c>
      <c r="D67" s="87"/>
      <c r="E67" s="87"/>
      <c r="F67" s="87"/>
      <c r="G67" s="104">
        <f>176+53</f>
        <v>229</v>
      </c>
      <c r="H67" s="23">
        <f t="shared" si="12"/>
        <v>0.77104377104377109</v>
      </c>
      <c r="I67" s="104">
        <f>45+23</f>
        <v>68</v>
      </c>
      <c r="J67" s="23">
        <f t="shared" si="13"/>
        <v>0.22895622895622897</v>
      </c>
      <c r="K67" s="103">
        <f t="shared" si="14"/>
        <v>297</v>
      </c>
      <c r="M67" s="59"/>
    </row>
    <row r="68" spans="2:19" ht="17.25" customHeight="1">
      <c r="C68" s="87" t="s">
        <v>40</v>
      </c>
      <c r="D68" s="87"/>
      <c r="E68" s="87"/>
      <c r="F68" s="87"/>
      <c r="G68" s="104">
        <f>558+352</f>
        <v>910</v>
      </c>
      <c r="H68" s="23">
        <f t="shared" si="12"/>
        <v>0.79406631762652702</v>
      </c>
      <c r="I68" s="104">
        <f>124+112</f>
        <v>236</v>
      </c>
      <c r="J68" s="23">
        <f t="shared" si="13"/>
        <v>0.20593368237347295</v>
      </c>
      <c r="K68" s="103">
        <f t="shared" si="14"/>
        <v>1146</v>
      </c>
      <c r="M68" s="59"/>
    </row>
    <row r="69" spans="2:19" ht="17.25" customHeight="1">
      <c r="C69" s="87" t="s">
        <v>41</v>
      </c>
      <c r="D69" s="87"/>
      <c r="E69" s="87"/>
      <c r="F69" s="87"/>
      <c r="G69" s="104">
        <f>270+77</f>
        <v>347</v>
      </c>
      <c r="H69" s="23">
        <f t="shared" si="12"/>
        <v>0.79043280182232345</v>
      </c>
      <c r="I69" s="104">
        <f>61+31</f>
        <v>92</v>
      </c>
      <c r="J69" s="23">
        <f t="shared" si="13"/>
        <v>0.20956719817767655</v>
      </c>
      <c r="K69" s="103">
        <f t="shared" si="14"/>
        <v>439</v>
      </c>
      <c r="M69" s="59"/>
    </row>
    <row r="70" spans="2:19" ht="17.25" customHeight="1">
      <c r="C70" s="87" t="s">
        <v>9</v>
      </c>
      <c r="D70" s="87"/>
      <c r="E70" s="87"/>
      <c r="F70" s="87"/>
      <c r="G70" s="104">
        <f>76+34</f>
        <v>110</v>
      </c>
      <c r="H70" s="23">
        <f t="shared" si="12"/>
        <v>0.7142857142857143</v>
      </c>
      <c r="I70" s="104">
        <f>33+11</f>
        <v>44</v>
      </c>
      <c r="J70" s="23">
        <f t="shared" si="13"/>
        <v>0.2857142857142857</v>
      </c>
      <c r="K70" s="103">
        <f t="shared" si="14"/>
        <v>154</v>
      </c>
      <c r="M70" s="59"/>
    </row>
    <row r="71" spans="2:19" ht="17.25" customHeight="1">
      <c r="C71" s="80" t="s">
        <v>44</v>
      </c>
      <c r="D71" s="80"/>
      <c r="E71" s="80"/>
      <c r="F71" s="80"/>
      <c r="G71" s="104">
        <v>3</v>
      </c>
      <c r="H71" s="23">
        <f t="shared" si="12"/>
        <v>1</v>
      </c>
      <c r="I71" s="20" t="s">
        <v>88</v>
      </c>
      <c r="J71" s="23" t="s">
        <v>88</v>
      </c>
      <c r="K71" s="103">
        <v>3</v>
      </c>
      <c r="M71" s="59"/>
    </row>
    <row r="72" spans="2:19">
      <c r="C72" s="36"/>
      <c r="D72" s="36"/>
      <c r="E72" s="36"/>
      <c r="F72" s="36"/>
      <c r="G72" s="60"/>
      <c r="H72" s="34"/>
    </row>
    <row r="74" spans="2:19">
      <c r="B74" s="28" t="s">
        <v>26</v>
      </c>
    </row>
    <row r="76" spans="2:19" s="25" customFormat="1" ht="17.25" customHeight="1">
      <c r="B76" s="14"/>
      <c r="G76" s="15"/>
      <c r="J76" s="84" t="s">
        <v>42</v>
      </c>
      <c r="K76" s="85"/>
      <c r="L76" s="85"/>
      <c r="M76" s="85"/>
      <c r="N76" s="86"/>
      <c r="O76" s="15"/>
      <c r="P76" s="96"/>
      <c r="Q76" s="96"/>
      <c r="R76" s="96"/>
      <c r="S76" s="48"/>
    </row>
    <row r="77" spans="2:19" s="25" customFormat="1" ht="26.25" customHeight="1">
      <c r="B77" s="14"/>
      <c r="G77" s="118" t="s">
        <v>96</v>
      </c>
      <c r="H77" s="118" t="s">
        <v>97</v>
      </c>
      <c r="I77" s="118" t="s">
        <v>43</v>
      </c>
      <c r="J77" s="35">
        <v>1</v>
      </c>
      <c r="K77" s="35">
        <v>2</v>
      </c>
      <c r="L77" s="35">
        <v>3</v>
      </c>
      <c r="M77" s="35">
        <v>4</v>
      </c>
      <c r="N77" s="115">
        <v>5</v>
      </c>
      <c r="O77" s="67" t="s">
        <v>44</v>
      </c>
      <c r="P77" s="96"/>
      <c r="Q77" s="96"/>
      <c r="R77" s="96"/>
      <c r="S77" s="96"/>
    </row>
    <row r="78" spans="2:19" s="25" customFormat="1" ht="17.25" customHeight="1">
      <c r="C78" s="87" t="s">
        <v>45</v>
      </c>
      <c r="D78" s="87"/>
      <c r="E78" s="87"/>
      <c r="F78" s="87"/>
      <c r="G78" s="119">
        <v>3.3793633583587868</v>
      </c>
      <c r="H78" s="119">
        <v>3.4680373874561785</v>
      </c>
      <c r="I78" s="120">
        <v>3.4237003729074829</v>
      </c>
      <c r="J78" s="29">
        <v>104</v>
      </c>
      <c r="K78" s="128">
        <v>412</v>
      </c>
      <c r="L78" s="128">
        <v>1334</v>
      </c>
      <c r="M78" s="128">
        <v>1215</v>
      </c>
      <c r="N78" s="131">
        <v>377</v>
      </c>
      <c r="O78" s="29">
        <v>54</v>
      </c>
      <c r="P78" s="117"/>
      <c r="Q78" s="117"/>
      <c r="R78" s="117"/>
      <c r="S78" s="116"/>
    </row>
    <row r="79" spans="2:19" s="25" customFormat="1" ht="17.25" customHeight="1">
      <c r="C79" s="87" t="s">
        <v>46</v>
      </c>
      <c r="D79" s="87"/>
      <c r="E79" s="87"/>
      <c r="F79" s="87"/>
      <c r="G79" s="119">
        <v>3.5901255337891116</v>
      </c>
      <c r="H79" s="119">
        <v>3.5794101447494278</v>
      </c>
      <c r="I79" s="120">
        <v>3.5847678392692695</v>
      </c>
      <c r="J79" s="29">
        <v>114</v>
      </c>
      <c r="K79" s="128">
        <v>356</v>
      </c>
      <c r="L79" s="128">
        <v>1052</v>
      </c>
      <c r="M79" s="128">
        <v>1266</v>
      </c>
      <c r="N79" s="131">
        <v>655</v>
      </c>
      <c r="O79" s="29">
        <v>53</v>
      </c>
      <c r="P79" s="117"/>
      <c r="Q79" s="117"/>
      <c r="R79" s="117"/>
      <c r="S79" s="116"/>
    </row>
    <row r="80" spans="2:19" s="25" customFormat="1" ht="17.25" customHeight="1">
      <c r="C80" s="87" t="s">
        <v>47</v>
      </c>
      <c r="D80" s="87"/>
      <c r="E80" s="87"/>
      <c r="F80" s="87"/>
      <c r="G80" s="119">
        <v>3.723037959109512</v>
      </c>
      <c r="H80" s="119">
        <v>3.776763152514679</v>
      </c>
      <c r="I80" s="120">
        <v>3.7499005558120952</v>
      </c>
      <c r="J80" s="29">
        <v>73</v>
      </c>
      <c r="K80" s="128">
        <v>232</v>
      </c>
      <c r="L80" s="128">
        <v>984</v>
      </c>
      <c r="M80" s="128">
        <v>1402</v>
      </c>
      <c r="N80" s="131">
        <v>752</v>
      </c>
      <c r="O80" s="29">
        <v>53</v>
      </c>
      <c r="P80" s="117"/>
      <c r="Q80" s="117"/>
      <c r="R80" s="117"/>
      <c r="S80" s="116"/>
    </row>
    <row r="81" spans="2:19" s="25" customFormat="1" ht="17.25" customHeight="1">
      <c r="C81" s="87" t="s">
        <v>48</v>
      </c>
      <c r="D81" s="87"/>
      <c r="E81" s="87"/>
      <c r="F81" s="87"/>
      <c r="G81" s="119">
        <v>3.1752112388874449</v>
      </c>
      <c r="H81" s="119">
        <v>3.1846198156682028</v>
      </c>
      <c r="I81" s="120">
        <v>3.1799155272778239</v>
      </c>
      <c r="J81" s="129">
        <v>176</v>
      </c>
      <c r="K81" s="128">
        <v>567</v>
      </c>
      <c r="L81" s="128">
        <v>1402</v>
      </c>
      <c r="M81" s="128">
        <v>1011</v>
      </c>
      <c r="N81" s="131">
        <v>271</v>
      </c>
      <c r="O81" s="29">
        <v>69</v>
      </c>
      <c r="P81" s="117"/>
      <c r="Q81" s="117"/>
      <c r="R81" s="117"/>
      <c r="S81" s="116"/>
    </row>
    <row r="82" spans="2:19" s="25" customFormat="1" ht="17.25" customHeight="1">
      <c r="C82" s="87" t="s">
        <v>49</v>
      </c>
      <c r="D82" s="87"/>
      <c r="E82" s="87"/>
      <c r="F82" s="87"/>
      <c r="G82" s="119">
        <v>2.7273324179636331</v>
      </c>
      <c r="H82" s="119">
        <v>2.7459234314050693</v>
      </c>
      <c r="I82" s="120">
        <v>2.7366279246843512</v>
      </c>
      <c r="J82" s="29">
        <v>622</v>
      </c>
      <c r="K82" s="128">
        <v>868</v>
      </c>
      <c r="L82" s="128">
        <v>1022</v>
      </c>
      <c r="M82" s="128">
        <v>701</v>
      </c>
      <c r="N82" s="131">
        <v>224</v>
      </c>
      <c r="O82" s="29">
        <v>59</v>
      </c>
      <c r="P82" s="117"/>
      <c r="Q82" s="117"/>
      <c r="R82" s="117"/>
      <c r="S82" s="116"/>
    </row>
    <row r="83" spans="2:19" s="25" customFormat="1" ht="17.25" customHeight="1">
      <c r="C83" s="87" t="s">
        <v>50</v>
      </c>
      <c r="D83" s="87"/>
      <c r="E83" s="87"/>
      <c r="F83" s="87"/>
      <c r="G83" s="119">
        <v>3.6412208099558825</v>
      </c>
      <c r="H83" s="119">
        <v>3.6501868172649425</v>
      </c>
      <c r="I83" s="120">
        <v>3.6457038136104125</v>
      </c>
      <c r="J83" s="110">
        <v>100</v>
      </c>
      <c r="K83" s="132">
        <v>292</v>
      </c>
      <c r="L83" s="131">
        <v>1058</v>
      </c>
      <c r="M83" s="132">
        <v>1328</v>
      </c>
      <c r="N83" s="131">
        <v>662</v>
      </c>
      <c r="O83" s="128">
        <v>56</v>
      </c>
      <c r="P83" s="48"/>
      <c r="Q83" s="117"/>
      <c r="R83" s="48"/>
      <c r="S83" s="48"/>
    </row>
    <row r="86" spans="2:19">
      <c r="B86" s="28" t="s">
        <v>27</v>
      </c>
    </row>
    <row r="87" spans="2:19">
      <c r="H87" s="62"/>
    </row>
    <row r="88" spans="2:19">
      <c r="B88" s="28" t="s">
        <v>28</v>
      </c>
    </row>
    <row r="90" spans="2:19" s="25" customFormat="1" ht="17.25" customHeight="1">
      <c r="B90" s="2"/>
      <c r="G90" s="66" t="s">
        <v>93</v>
      </c>
      <c r="H90" s="24" t="s">
        <v>23</v>
      </c>
      <c r="I90" s="66" t="s">
        <v>94</v>
      </c>
      <c r="J90" s="24" t="s">
        <v>23</v>
      </c>
      <c r="K90" s="67" t="s">
        <v>1</v>
      </c>
    </row>
    <row r="91" spans="2:19" s="25" customFormat="1" ht="30" customHeight="1">
      <c r="C91" s="87" t="s">
        <v>51</v>
      </c>
      <c r="D91" s="87"/>
      <c r="E91" s="87"/>
      <c r="F91" s="87"/>
      <c r="G91" s="110">
        <v>1274</v>
      </c>
      <c r="H91" s="23">
        <f>G91/K91</f>
        <v>0.83159268929503916</v>
      </c>
      <c r="I91" s="20">
        <v>258</v>
      </c>
      <c r="J91" s="23">
        <f>I91/K91</f>
        <v>0.16840731070496084</v>
      </c>
      <c r="K91" s="103">
        <f>+I91+G91</f>
        <v>1532</v>
      </c>
      <c r="M91" s="107"/>
    </row>
    <row r="92" spans="2:19" s="25" customFormat="1" ht="17.25" customHeight="1">
      <c r="C92" s="87" t="s">
        <v>52</v>
      </c>
      <c r="D92" s="87"/>
      <c r="E92" s="87"/>
      <c r="F92" s="87"/>
      <c r="G92" s="110">
        <f>649+432</f>
        <v>1081</v>
      </c>
      <c r="H92" s="23">
        <f t="shared" ref="H92:H95" si="15">G92/K92</f>
        <v>0.72114743162108075</v>
      </c>
      <c r="I92" s="20">
        <f>208+210</f>
        <v>418</v>
      </c>
      <c r="J92" s="23">
        <f t="shared" ref="J92:J95" si="16">I92/K92</f>
        <v>0.27885256837891925</v>
      </c>
      <c r="K92" s="103">
        <f t="shared" ref="K92:K95" si="17">+I92+G92</f>
        <v>1499</v>
      </c>
      <c r="M92" s="107"/>
    </row>
    <row r="93" spans="2:19" s="25" customFormat="1" ht="17.25" customHeight="1">
      <c r="C93" s="87" t="s">
        <v>53</v>
      </c>
      <c r="D93" s="87"/>
      <c r="E93" s="87"/>
      <c r="F93" s="87"/>
      <c r="G93" s="110">
        <f>188+194</f>
        <v>382</v>
      </c>
      <c r="H93" s="23">
        <f t="shared" si="15"/>
        <v>0.77327935222672062</v>
      </c>
      <c r="I93" s="20">
        <f>52+60</f>
        <v>112</v>
      </c>
      <c r="J93" s="23">
        <f t="shared" si="16"/>
        <v>0.22672064777327935</v>
      </c>
      <c r="K93" s="103">
        <f t="shared" si="17"/>
        <v>494</v>
      </c>
      <c r="M93" s="107"/>
    </row>
    <row r="94" spans="2:19" s="25" customFormat="1" ht="17.25" customHeight="1">
      <c r="C94" s="87" t="s">
        <v>9</v>
      </c>
      <c r="D94" s="87"/>
      <c r="E94" s="87"/>
      <c r="F94" s="87"/>
      <c r="G94" s="110">
        <f>404+177</f>
        <v>581</v>
      </c>
      <c r="H94" s="23">
        <f t="shared" si="15"/>
        <v>0.71639950678175091</v>
      </c>
      <c r="I94" s="20">
        <f>157+73</f>
        <v>230</v>
      </c>
      <c r="J94" s="23">
        <f t="shared" si="16"/>
        <v>0.28360049321824909</v>
      </c>
      <c r="K94" s="103">
        <f t="shared" si="17"/>
        <v>811</v>
      </c>
      <c r="M94" s="107"/>
    </row>
    <row r="95" spans="2:19" s="25" customFormat="1" ht="17.25" customHeight="1">
      <c r="C95" s="87" t="s">
        <v>44</v>
      </c>
      <c r="D95" s="87"/>
      <c r="E95" s="87"/>
      <c r="F95" s="87"/>
      <c r="G95" s="110">
        <v>139</v>
      </c>
      <c r="H95" s="23">
        <f t="shared" si="15"/>
        <v>0.75135135135135134</v>
      </c>
      <c r="I95" s="20">
        <v>46</v>
      </c>
      <c r="J95" s="23">
        <f t="shared" si="16"/>
        <v>0.24864864864864866</v>
      </c>
      <c r="K95" s="103">
        <f t="shared" si="17"/>
        <v>185</v>
      </c>
      <c r="M95" s="107"/>
    </row>
    <row r="96" spans="2:19">
      <c r="B96" s="2"/>
      <c r="C96" s="16"/>
      <c r="D96" s="17"/>
      <c r="I96" s="22"/>
    </row>
    <row r="97" spans="2:13">
      <c r="B97" s="2"/>
      <c r="C97" s="5"/>
      <c r="D97" s="3"/>
    </row>
    <row r="98" spans="2:13" ht="17.25" customHeight="1">
      <c r="B98" s="47"/>
      <c r="C98" s="46"/>
      <c r="D98" s="88" t="s">
        <v>85</v>
      </c>
      <c r="E98" s="89"/>
      <c r="F98" s="89"/>
      <c r="G98" s="66" t="s">
        <v>93</v>
      </c>
      <c r="H98" s="24" t="s">
        <v>23</v>
      </c>
      <c r="I98" s="66" t="s">
        <v>94</v>
      </c>
      <c r="J98" s="24" t="s">
        <v>23</v>
      </c>
      <c r="K98" s="67" t="s">
        <v>1</v>
      </c>
    </row>
    <row r="99" spans="2:13" ht="17.25" customHeight="1">
      <c r="B99" s="48"/>
      <c r="D99" s="87" t="s">
        <v>54</v>
      </c>
      <c r="E99" s="87"/>
      <c r="F99" s="87"/>
      <c r="G99" s="110">
        <f>623+248</f>
        <v>871</v>
      </c>
      <c r="H99" s="122">
        <f>G99/K99</f>
        <v>0.87362086258776328</v>
      </c>
      <c r="I99" s="20">
        <f>115+11</f>
        <v>126</v>
      </c>
      <c r="J99" s="23">
        <f>I99/K99</f>
        <v>0.12637913741223672</v>
      </c>
      <c r="K99" s="103">
        <f>+I99+G99</f>
        <v>997</v>
      </c>
      <c r="M99" s="59"/>
    </row>
    <row r="100" spans="2:13" ht="17.25" customHeight="1">
      <c r="B100" s="48"/>
      <c r="D100" s="87" t="s">
        <v>55</v>
      </c>
      <c r="E100" s="87"/>
      <c r="F100" s="87"/>
      <c r="G100" s="114">
        <f>23+34</f>
        <v>57</v>
      </c>
      <c r="H100" s="122">
        <f t="shared" ref="H100:H104" si="18">G100/K100</f>
        <v>0.80281690140845074</v>
      </c>
      <c r="I100" s="20">
        <f>2+12</f>
        <v>14</v>
      </c>
      <c r="J100" s="23">
        <f t="shared" ref="J100:J104" si="19">I100/K100</f>
        <v>0.19718309859154928</v>
      </c>
      <c r="K100" s="103">
        <f t="shared" ref="K100:K105" si="20">+I100+G100</f>
        <v>71</v>
      </c>
      <c r="M100" s="59"/>
    </row>
    <row r="101" spans="2:13" ht="17.25" customHeight="1">
      <c r="B101" s="48"/>
      <c r="D101" s="87" t="s">
        <v>56</v>
      </c>
      <c r="E101" s="87"/>
      <c r="F101" s="87"/>
      <c r="G101" s="114">
        <f>12+24</f>
        <v>36</v>
      </c>
      <c r="H101" s="122">
        <f t="shared" si="18"/>
        <v>0.72</v>
      </c>
      <c r="I101" s="20">
        <f>4+10</f>
        <v>14</v>
      </c>
      <c r="J101" s="23">
        <f t="shared" si="19"/>
        <v>0.28000000000000003</v>
      </c>
      <c r="K101" s="103">
        <f t="shared" si="20"/>
        <v>50</v>
      </c>
      <c r="M101" s="59"/>
    </row>
    <row r="102" spans="2:13" ht="17.25" customHeight="1">
      <c r="B102" s="48"/>
      <c r="D102" s="87" t="s">
        <v>57</v>
      </c>
      <c r="E102" s="87"/>
      <c r="F102" s="87"/>
      <c r="G102" s="113">
        <f>22+6</f>
        <v>28</v>
      </c>
      <c r="H102" s="122">
        <f t="shared" si="18"/>
        <v>0.5957446808510638</v>
      </c>
      <c r="I102" s="20">
        <f>11+8</f>
        <v>19</v>
      </c>
      <c r="J102" s="23">
        <f t="shared" si="19"/>
        <v>0.40425531914893614</v>
      </c>
      <c r="K102" s="103">
        <f t="shared" si="20"/>
        <v>47</v>
      </c>
      <c r="M102" s="59"/>
    </row>
    <row r="103" spans="2:13" ht="17.25" customHeight="1">
      <c r="B103" s="48"/>
      <c r="D103" s="87" t="s">
        <v>58</v>
      </c>
      <c r="E103" s="87"/>
      <c r="F103" s="87"/>
      <c r="G103" s="110">
        <f>177+30</f>
        <v>207</v>
      </c>
      <c r="H103" s="122">
        <f t="shared" si="18"/>
        <v>0.74729241877256314</v>
      </c>
      <c r="I103" s="20">
        <f>57+13</f>
        <v>70</v>
      </c>
      <c r="J103" s="23">
        <f t="shared" si="19"/>
        <v>0.25270758122743681</v>
      </c>
      <c r="K103" s="103">
        <f t="shared" si="20"/>
        <v>277</v>
      </c>
      <c r="M103" s="59"/>
    </row>
    <row r="104" spans="2:13" ht="17.25" customHeight="1">
      <c r="B104" s="48"/>
      <c r="D104" s="87" t="s">
        <v>59</v>
      </c>
      <c r="E104" s="87"/>
      <c r="F104" s="87"/>
      <c r="G104" s="114">
        <f>72+3</f>
        <v>75</v>
      </c>
      <c r="H104" s="122">
        <f t="shared" si="18"/>
        <v>0.83333333333333337</v>
      </c>
      <c r="I104" s="20">
        <f>14+1</f>
        <v>15</v>
      </c>
      <c r="J104" s="23">
        <f t="shared" si="19"/>
        <v>0.16666666666666666</v>
      </c>
      <c r="K104" s="103">
        <f t="shared" si="20"/>
        <v>90</v>
      </c>
      <c r="M104" s="59"/>
    </row>
    <row r="105" spans="2:13" ht="17.25" customHeight="1">
      <c r="B105" s="47"/>
      <c r="D105" s="90" t="s">
        <v>60</v>
      </c>
      <c r="E105" s="90"/>
      <c r="F105" s="90"/>
      <c r="G105" s="121">
        <f>SUM(G99:G104)</f>
        <v>1274</v>
      </c>
      <c r="H105" s="123">
        <f>G105/K105</f>
        <v>0.83159268929503916</v>
      </c>
      <c r="I105" s="121">
        <f>SUM(I99:I104)</f>
        <v>258</v>
      </c>
      <c r="J105" s="124">
        <f>I105/K105</f>
        <v>0.16840731070496084</v>
      </c>
      <c r="K105" s="103">
        <f t="shared" si="20"/>
        <v>1532</v>
      </c>
      <c r="M105" s="59"/>
    </row>
    <row r="106" spans="2:13">
      <c r="B106" s="47"/>
      <c r="D106" s="39"/>
      <c r="E106" s="39"/>
      <c r="F106" s="39"/>
      <c r="G106" s="40"/>
      <c r="H106" s="37"/>
    </row>
    <row r="108" spans="2:13">
      <c r="B108" s="28" t="s">
        <v>29</v>
      </c>
    </row>
    <row r="110" spans="2:13" ht="17.25" customHeight="1">
      <c r="B110" s="2"/>
      <c r="C110" s="46"/>
      <c r="D110" s="46"/>
      <c r="G110" s="66" t="s">
        <v>93</v>
      </c>
      <c r="H110" s="24" t="s">
        <v>23</v>
      </c>
      <c r="I110" s="66" t="s">
        <v>94</v>
      </c>
      <c r="J110" s="24" t="s">
        <v>23</v>
      </c>
      <c r="K110" s="67" t="s">
        <v>1</v>
      </c>
    </row>
    <row r="111" spans="2:13" ht="17.25" customHeight="1">
      <c r="C111" s="87" t="s">
        <v>61</v>
      </c>
      <c r="D111" s="87"/>
      <c r="E111" s="87"/>
      <c r="F111" s="87"/>
      <c r="G111" s="125">
        <f>1475+933</f>
        <v>2408</v>
      </c>
      <c r="H111" s="23">
        <f>G111/K111</f>
        <v>0.7292549969715324</v>
      </c>
      <c r="I111" s="20">
        <f>505+389</f>
        <v>894</v>
      </c>
      <c r="J111" s="23">
        <f>I111/K111</f>
        <v>0.2707450030284676</v>
      </c>
      <c r="K111" s="103">
        <f>+I111+G111</f>
        <v>3302</v>
      </c>
      <c r="M111" s="59"/>
    </row>
    <row r="112" spans="2:13" ht="28.5" customHeight="1">
      <c r="C112" s="87" t="s">
        <v>62</v>
      </c>
      <c r="D112" s="87"/>
      <c r="E112" s="87"/>
      <c r="F112" s="87"/>
      <c r="G112" s="125">
        <f>295+108</f>
        <v>403</v>
      </c>
      <c r="H112" s="23">
        <f t="shared" ref="H112:H119" si="21">G112/K112</f>
        <v>0.76181474480151223</v>
      </c>
      <c r="I112" s="20">
        <f>65+61</f>
        <v>126</v>
      </c>
      <c r="J112" s="23">
        <f t="shared" ref="J112:J119" si="22">I112/K112</f>
        <v>0.23818525519848771</v>
      </c>
      <c r="K112" s="103">
        <f t="shared" ref="K112:K119" si="23">+I112+G112</f>
        <v>529</v>
      </c>
      <c r="M112" s="59"/>
    </row>
    <row r="113" spans="2:15" ht="17.25" customHeight="1">
      <c r="C113" s="87" t="s">
        <v>63</v>
      </c>
      <c r="D113" s="87"/>
      <c r="E113" s="87"/>
      <c r="F113" s="87"/>
      <c r="G113" s="125">
        <f>471+283</f>
        <v>754</v>
      </c>
      <c r="H113" s="23">
        <f t="shared" si="21"/>
        <v>0.70798122065727698</v>
      </c>
      <c r="I113" s="20">
        <f>179+132</f>
        <v>311</v>
      </c>
      <c r="J113" s="23">
        <f t="shared" si="22"/>
        <v>0.29201877934272302</v>
      </c>
      <c r="K113" s="103">
        <f t="shared" si="23"/>
        <v>1065</v>
      </c>
      <c r="M113" s="59"/>
    </row>
    <row r="114" spans="2:15" ht="17.25" customHeight="1">
      <c r="C114" s="87" t="s">
        <v>64</v>
      </c>
      <c r="D114" s="87"/>
      <c r="E114" s="87"/>
      <c r="F114" s="87"/>
      <c r="G114" s="125">
        <f>519+235</f>
        <v>754</v>
      </c>
      <c r="H114" s="23">
        <f t="shared" si="21"/>
        <v>0.78541666666666665</v>
      </c>
      <c r="I114" s="20">
        <f>119+87</f>
        <v>206</v>
      </c>
      <c r="J114" s="23">
        <f t="shared" si="22"/>
        <v>0.21458333333333332</v>
      </c>
      <c r="K114" s="103">
        <f t="shared" si="23"/>
        <v>960</v>
      </c>
      <c r="M114" s="59"/>
    </row>
    <row r="115" spans="2:15" ht="17.25" customHeight="1">
      <c r="C115" s="87" t="s">
        <v>65</v>
      </c>
      <c r="D115" s="87"/>
      <c r="E115" s="87"/>
      <c r="F115" s="87"/>
      <c r="G115" s="110">
        <f>112+47</f>
        <v>159</v>
      </c>
      <c r="H115" s="23">
        <f t="shared" si="21"/>
        <v>0.81538461538461537</v>
      </c>
      <c r="I115" s="20">
        <f>20+16</f>
        <v>36</v>
      </c>
      <c r="J115" s="23">
        <f t="shared" si="22"/>
        <v>0.18461538461538463</v>
      </c>
      <c r="K115" s="103">
        <f t="shared" si="23"/>
        <v>195</v>
      </c>
      <c r="M115" s="59"/>
    </row>
    <row r="116" spans="2:15" ht="17.25" customHeight="1">
      <c r="C116" s="87" t="s">
        <v>66</v>
      </c>
      <c r="D116" s="87"/>
      <c r="E116" s="87"/>
      <c r="F116" s="87"/>
      <c r="G116" s="125">
        <f>245+175</f>
        <v>420</v>
      </c>
      <c r="H116" s="23">
        <f t="shared" si="21"/>
        <v>0.74600355239786853</v>
      </c>
      <c r="I116" s="20">
        <f>78+65</f>
        <v>143</v>
      </c>
      <c r="J116" s="23">
        <f t="shared" si="22"/>
        <v>0.25399644760213141</v>
      </c>
      <c r="K116" s="103">
        <f t="shared" si="23"/>
        <v>563</v>
      </c>
      <c r="M116" s="59"/>
    </row>
    <row r="117" spans="2:15" ht="17.25" customHeight="1">
      <c r="C117" s="87" t="s">
        <v>67</v>
      </c>
      <c r="D117" s="87"/>
      <c r="E117" s="87"/>
      <c r="F117" s="87"/>
      <c r="G117" s="125">
        <f>123+65</f>
        <v>188</v>
      </c>
      <c r="H117" s="23">
        <f t="shared" si="21"/>
        <v>0.83185840707964598</v>
      </c>
      <c r="I117" s="20">
        <f>23+15</f>
        <v>38</v>
      </c>
      <c r="J117" s="23">
        <f t="shared" si="22"/>
        <v>0.16814159292035399</v>
      </c>
      <c r="K117" s="103">
        <f t="shared" si="23"/>
        <v>226</v>
      </c>
      <c r="M117" s="59"/>
    </row>
    <row r="118" spans="2:15" ht="17.25" customHeight="1">
      <c r="C118" s="87" t="s">
        <v>9</v>
      </c>
      <c r="D118" s="87"/>
      <c r="E118" s="87"/>
      <c r="F118" s="87"/>
      <c r="G118" s="125">
        <f>73+21</f>
        <v>94</v>
      </c>
      <c r="H118" s="23">
        <f t="shared" si="21"/>
        <v>0.74015748031496065</v>
      </c>
      <c r="I118" s="20">
        <f>27+6</f>
        <v>33</v>
      </c>
      <c r="J118" s="23">
        <f t="shared" si="22"/>
        <v>0.25984251968503935</v>
      </c>
      <c r="K118" s="103">
        <f t="shared" si="23"/>
        <v>127</v>
      </c>
      <c r="M118" s="59"/>
    </row>
    <row r="119" spans="2:15" ht="17.25" customHeight="1">
      <c r="C119" s="87" t="s">
        <v>44</v>
      </c>
      <c r="D119" s="87"/>
      <c r="E119" s="87"/>
      <c r="F119" s="87"/>
      <c r="G119" s="125">
        <v>39</v>
      </c>
      <c r="H119" s="23">
        <f t="shared" si="21"/>
        <v>0.9285714285714286</v>
      </c>
      <c r="I119" s="20">
        <v>3</v>
      </c>
      <c r="J119" s="23">
        <f t="shared" si="22"/>
        <v>7.1428571428571425E-2</v>
      </c>
      <c r="K119" s="103">
        <f t="shared" si="23"/>
        <v>42</v>
      </c>
      <c r="M119" s="59"/>
    </row>
    <row r="120" spans="2:15">
      <c r="C120" s="36"/>
      <c r="D120" s="36"/>
      <c r="E120" s="36"/>
      <c r="F120" s="36"/>
      <c r="G120" s="63"/>
      <c r="H120" s="34"/>
    </row>
    <row r="122" spans="2:15">
      <c r="B122" s="28" t="s">
        <v>30</v>
      </c>
    </row>
    <row r="124" spans="2:15" ht="17.25" customHeight="1">
      <c r="B124" s="14"/>
      <c r="G124" s="15"/>
      <c r="J124" s="84" t="s">
        <v>42</v>
      </c>
      <c r="K124" s="85"/>
      <c r="L124" s="85"/>
      <c r="M124" s="85"/>
      <c r="N124" s="86"/>
      <c r="O124" s="15"/>
    </row>
    <row r="125" spans="2:15" ht="29.25" customHeight="1">
      <c r="B125" s="14"/>
      <c r="C125" s="91"/>
      <c r="D125" s="92"/>
      <c r="E125" s="92"/>
      <c r="F125" s="92"/>
      <c r="G125" s="118" t="s">
        <v>96</v>
      </c>
      <c r="H125" s="118" t="s">
        <v>97</v>
      </c>
      <c r="I125" s="118" t="s">
        <v>43</v>
      </c>
      <c r="J125" s="35">
        <v>1</v>
      </c>
      <c r="K125" s="35">
        <v>2</v>
      </c>
      <c r="L125" s="35">
        <v>3</v>
      </c>
      <c r="M125" s="35">
        <v>4</v>
      </c>
      <c r="N125" s="35">
        <v>5</v>
      </c>
      <c r="O125" s="35" t="s">
        <v>44</v>
      </c>
    </row>
    <row r="126" spans="2:15" ht="17.25" customHeight="1">
      <c r="C126" s="87" t="s">
        <v>68</v>
      </c>
      <c r="D126" s="87"/>
      <c r="E126" s="87"/>
      <c r="F126" s="87"/>
      <c r="G126" s="119">
        <v>2.948779641775984</v>
      </c>
      <c r="H126" s="119">
        <v>3.0221978349446128</v>
      </c>
      <c r="I126" s="120">
        <v>2.9651962350560481</v>
      </c>
      <c r="J126" s="29">
        <v>339</v>
      </c>
      <c r="K126" s="29">
        <v>740</v>
      </c>
      <c r="L126" s="29">
        <v>1283</v>
      </c>
      <c r="M126" s="29">
        <v>865</v>
      </c>
      <c r="N126" s="29">
        <v>210</v>
      </c>
      <c r="O126" s="128">
        <v>59</v>
      </c>
    </row>
    <row r="127" spans="2:15" ht="17.25" customHeight="1">
      <c r="C127" s="87" t="s">
        <v>69</v>
      </c>
      <c r="D127" s="87"/>
      <c r="E127" s="87"/>
      <c r="F127" s="87"/>
      <c r="G127" s="119">
        <v>2.9199582027168232</v>
      </c>
      <c r="H127" s="119">
        <v>3.0874935666495107</v>
      </c>
      <c r="I127" s="120">
        <v>2.9623124600517241</v>
      </c>
      <c r="J127" s="128">
        <v>314</v>
      </c>
      <c r="K127" s="128">
        <v>749</v>
      </c>
      <c r="L127" s="128">
        <v>1309</v>
      </c>
      <c r="M127" s="128">
        <v>866</v>
      </c>
      <c r="N127" s="128">
        <v>194</v>
      </c>
      <c r="O127" s="128">
        <v>64</v>
      </c>
    </row>
    <row r="128" spans="2:15" ht="17.25" customHeight="1">
      <c r="C128" s="87" t="s">
        <v>70</v>
      </c>
      <c r="D128" s="87"/>
      <c r="E128" s="87"/>
      <c r="F128" s="87"/>
      <c r="G128" s="119">
        <v>2.5435602701757762</v>
      </c>
      <c r="H128" s="119">
        <v>2.5268225032808211</v>
      </c>
      <c r="I128" s="120">
        <v>2.5386256071408422</v>
      </c>
      <c r="J128" s="129">
        <v>707</v>
      </c>
      <c r="K128" s="128">
        <v>943</v>
      </c>
      <c r="L128" s="128">
        <v>1144</v>
      </c>
      <c r="M128" s="128">
        <v>517</v>
      </c>
      <c r="N128" s="128">
        <v>121</v>
      </c>
      <c r="O128" s="128">
        <v>64</v>
      </c>
    </row>
    <row r="129" spans="2:16" ht="17.25" customHeight="1">
      <c r="C129" s="87" t="s">
        <v>71</v>
      </c>
      <c r="D129" s="87"/>
      <c r="E129" s="87"/>
      <c r="F129" s="87"/>
      <c r="G129" s="119">
        <v>2.8393705209418285</v>
      </c>
      <c r="H129" s="119">
        <v>2.9213552055147467</v>
      </c>
      <c r="I129" s="120">
        <v>2.8588299979956675</v>
      </c>
      <c r="J129" s="129">
        <v>344</v>
      </c>
      <c r="K129" s="128">
        <v>809</v>
      </c>
      <c r="L129" s="128">
        <v>1401</v>
      </c>
      <c r="M129" s="128">
        <v>738</v>
      </c>
      <c r="N129" s="128">
        <v>140</v>
      </c>
      <c r="O129" s="128">
        <v>64</v>
      </c>
    </row>
    <row r="130" spans="2:16" ht="17.25" customHeight="1">
      <c r="C130" s="87" t="s">
        <v>72</v>
      </c>
      <c r="D130" s="87"/>
      <c r="E130" s="87"/>
      <c r="F130" s="87"/>
      <c r="G130" s="119">
        <v>2.646881627144785</v>
      </c>
      <c r="H130" s="119">
        <v>2.681574844670656</v>
      </c>
      <c r="I130" s="120">
        <v>2.6569950738844827</v>
      </c>
      <c r="J130" s="129">
        <v>498</v>
      </c>
      <c r="K130" s="128">
        <v>934</v>
      </c>
      <c r="L130" s="128">
        <v>1365</v>
      </c>
      <c r="M130" s="128">
        <v>518</v>
      </c>
      <c r="N130" s="128">
        <v>115</v>
      </c>
      <c r="O130" s="128">
        <v>66</v>
      </c>
      <c r="P130" s="62"/>
    </row>
    <row r="131" spans="2:16" ht="17.25" customHeight="1">
      <c r="C131" s="87" t="s">
        <v>73</v>
      </c>
      <c r="D131" s="87"/>
      <c r="E131" s="87"/>
      <c r="F131" s="87"/>
      <c r="G131" s="119">
        <v>2.6947546531302873</v>
      </c>
      <c r="H131" s="119">
        <v>2.7556539685269588</v>
      </c>
      <c r="I131" s="120">
        <v>2.7086413421242606</v>
      </c>
      <c r="J131" s="129">
        <v>618</v>
      </c>
      <c r="K131" s="128">
        <v>849</v>
      </c>
      <c r="L131" s="128">
        <v>1111</v>
      </c>
      <c r="M131" s="128">
        <v>614</v>
      </c>
      <c r="N131" s="128">
        <v>232</v>
      </c>
      <c r="O131" s="29">
        <v>72</v>
      </c>
    </row>
    <row r="132" spans="2:16">
      <c r="B132" s="14"/>
      <c r="C132" s="41"/>
      <c r="D132" s="42"/>
      <c r="E132" s="43"/>
      <c r="F132" s="43"/>
      <c r="G132" s="43"/>
      <c r="H132" s="43"/>
      <c r="I132" s="44"/>
    </row>
    <row r="134" spans="2:16">
      <c r="B134" s="28" t="s">
        <v>31</v>
      </c>
    </row>
    <row r="136" spans="2:16" s="22" customFormat="1" ht="17.25" customHeight="1">
      <c r="B136" s="5"/>
      <c r="C136" s="46"/>
      <c r="D136" s="46"/>
      <c r="G136" s="66" t="s">
        <v>93</v>
      </c>
      <c r="H136" s="24" t="s">
        <v>23</v>
      </c>
      <c r="I136" s="66" t="s">
        <v>94</v>
      </c>
      <c r="J136" s="24" t="s">
        <v>23</v>
      </c>
      <c r="K136" s="67" t="s">
        <v>1</v>
      </c>
    </row>
    <row r="137" spans="2:16" s="22" customFormat="1" ht="17.25" customHeight="1">
      <c r="C137" s="87" t="s">
        <v>61</v>
      </c>
      <c r="D137" s="87"/>
      <c r="E137" s="87"/>
      <c r="F137" s="87"/>
      <c r="G137" s="125">
        <f>460+302</f>
        <v>762</v>
      </c>
      <c r="H137" s="23">
        <f>G137/K137</f>
        <v>0.78475798146240994</v>
      </c>
      <c r="I137" s="20">
        <f>82+127</f>
        <v>209</v>
      </c>
      <c r="J137" s="23">
        <f>I137/K137</f>
        <v>0.21524201853759012</v>
      </c>
      <c r="K137" s="103">
        <f>+I137+G137</f>
        <v>971</v>
      </c>
      <c r="M137" s="130"/>
    </row>
    <row r="138" spans="2:16" s="22" customFormat="1" ht="17.25" customHeight="1">
      <c r="C138" s="87" t="s">
        <v>63</v>
      </c>
      <c r="D138" s="87"/>
      <c r="E138" s="87"/>
      <c r="F138" s="87"/>
      <c r="G138" s="125">
        <f>150+104</f>
        <v>254</v>
      </c>
      <c r="H138" s="23">
        <f t="shared" ref="H138:H144" si="24">G138/K138</f>
        <v>0.77203647416413379</v>
      </c>
      <c r="I138" s="20">
        <f>33+42</f>
        <v>75</v>
      </c>
      <c r="J138" s="23">
        <f t="shared" ref="J138:J144" si="25">I138/K138</f>
        <v>0.22796352583586627</v>
      </c>
      <c r="K138" s="103">
        <f t="shared" ref="K138:K144" si="26">+I138+G138</f>
        <v>329</v>
      </c>
      <c r="M138" s="130"/>
    </row>
    <row r="139" spans="2:16" s="22" customFormat="1" ht="17.25" customHeight="1">
      <c r="C139" s="87" t="s">
        <v>67</v>
      </c>
      <c r="D139" s="87"/>
      <c r="E139" s="87"/>
      <c r="F139" s="87"/>
      <c r="G139" s="125">
        <f>51+16</f>
        <v>67</v>
      </c>
      <c r="H139" s="23">
        <f t="shared" si="24"/>
        <v>0.79761904761904767</v>
      </c>
      <c r="I139" s="20">
        <f>7+10</f>
        <v>17</v>
      </c>
      <c r="J139" s="23">
        <f t="shared" si="25"/>
        <v>0.20238095238095238</v>
      </c>
      <c r="K139" s="103">
        <f t="shared" si="26"/>
        <v>84</v>
      </c>
      <c r="M139" s="130"/>
    </row>
    <row r="140" spans="2:16" s="22" customFormat="1" ht="17.25" customHeight="1">
      <c r="C140" s="87" t="s">
        <v>74</v>
      </c>
      <c r="D140" s="87"/>
      <c r="E140" s="87"/>
      <c r="F140" s="87"/>
      <c r="G140" s="125">
        <f>869+464</f>
        <v>1333</v>
      </c>
      <c r="H140" s="23">
        <f t="shared" si="24"/>
        <v>0.7332233223322332</v>
      </c>
      <c r="I140" s="20">
        <f>275+210</f>
        <v>485</v>
      </c>
      <c r="J140" s="23">
        <f t="shared" si="25"/>
        <v>0.2667766776677668</v>
      </c>
      <c r="K140" s="103">
        <f t="shared" si="26"/>
        <v>1818</v>
      </c>
      <c r="M140" s="130"/>
    </row>
    <row r="141" spans="2:16" s="22" customFormat="1" ht="17.25" customHeight="1">
      <c r="C141" s="87" t="s">
        <v>90</v>
      </c>
      <c r="D141" s="87"/>
      <c r="E141" s="87"/>
      <c r="F141" s="87"/>
      <c r="G141" s="125">
        <f>578+289</f>
        <v>867</v>
      </c>
      <c r="H141" s="23">
        <f t="shared" si="24"/>
        <v>0.7810810810810811</v>
      </c>
      <c r="I141" s="20">
        <f>140+103</f>
        <v>243</v>
      </c>
      <c r="J141" s="23">
        <f t="shared" si="25"/>
        <v>0.21891891891891893</v>
      </c>
      <c r="K141" s="103">
        <f t="shared" si="26"/>
        <v>1110</v>
      </c>
      <c r="M141" s="130"/>
    </row>
    <row r="142" spans="2:16" s="22" customFormat="1" ht="17.25" customHeight="1">
      <c r="C142" s="87" t="s">
        <v>75</v>
      </c>
      <c r="D142" s="87"/>
      <c r="E142" s="87"/>
      <c r="F142" s="87"/>
      <c r="G142" s="125">
        <f>759+444</f>
        <v>1203</v>
      </c>
      <c r="H142" s="23">
        <f t="shared" si="24"/>
        <v>0.73219720024345714</v>
      </c>
      <c r="I142" s="20">
        <f>235+205</f>
        <v>440</v>
      </c>
      <c r="J142" s="23">
        <f t="shared" si="25"/>
        <v>0.26780279975654292</v>
      </c>
      <c r="K142" s="103">
        <f t="shared" si="26"/>
        <v>1643</v>
      </c>
      <c r="M142" s="130"/>
    </row>
    <row r="143" spans="2:16" s="22" customFormat="1" ht="17.25" customHeight="1">
      <c r="C143" s="87" t="s">
        <v>9</v>
      </c>
      <c r="D143" s="87"/>
      <c r="E143" s="87"/>
      <c r="F143" s="87"/>
      <c r="G143" s="125">
        <f>142+75</f>
        <v>217</v>
      </c>
      <c r="H143" s="23">
        <f t="shared" si="24"/>
        <v>0.7640845070422535</v>
      </c>
      <c r="I143" s="20">
        <f>44+23</f>
        <v>67</v>
      </c>
      <c r="J143" s="23">
        <f t="shared" si="25"/>
        <v>0.23591549295774647</v>
      </c>
      <c r="K143" s="103">
        <f t="shared" si="26"/>
        <v>284</v>
      </c>
      <c r="M143" s="130"/>
    </row>
    <row r="144" spans="2:16" s="22" customFormat="1" ht="17.25" customHeight="1">
      <c r="C144" s="87" t="s">
        <v>44</v>
      </c>
      <c r="D144" s="87"/>
      <c r="E144" s="87"/>
      <c r="F144" s="87"/>
      <c r="G144" s="125">
        <v>54</v>
      </c>
      <c r="H144" s="23">
        <f t="shared" si="24"/>
        <v>0.75</v>
      </c>
      <c r="I144" s="20">
        <v>18</v>
      </c>
      <c r="J144" s="23">
        <f t="shared" si="25"/>
        <v>0.25</v>
      </c>
      <c r="K144" s="103">
        <f t="shared" si="26"/>
        <v>72</v>
      </c>
      <c r="M144" s="130"/>
    </row>
    <row r="149" spans="2:2">
      <c r="B149" s="52" t="s">
        <v>89</v>
      </c>
    </row>
    <row r="150" spans="2:2">
      <c r="B150" s="52" t="s">
        <v>99</v>
      </c>
    </row>
  </sheetData>
  <mergeCells count="88">
    <mergeCell ref="J124:N124"/>
    <mergeCell ref="C144:F144"/>
    <mergeCell ref="C71:F71"/>
    <mergeCell ref="C138:F138"/>
    <mergeCell ref="C139:F139"/>
    <mergeCell ref="C140:F140"/>
    <mergeCell ref="C141:F141"/>
    <mergeCell ref="C142:F142"/>
    <mergeCell ref="C143:F143"/>
    <mergeCell ref="C127:F127"/>
    <mergeCell ref="C128:F128"/>
    <mergeCell ref="C129:F129"/>
    <mergeCell ref="C130:F130"/>
    <mergeCell ref="C131:F131"/>
    <mergeCell ref="C137:F137"/>
    <mergeCell ref="C116:F116"/>
    <mergeCell ref="C117:F117"/>
    <mergeCell ref="C118:F118"/>
    <mergeCell ref="C125:F125"/>
    <mergeCell ref="C126:F126"/>
    <mergeCell ref="C119:F119"/>
    <mergeCell ref="D105:F105"/>
    <mergeCell ref="C111:F111"/>
    <mergeCell ref="C112:F112"/>
    <mergeCell ref="C113:F113"/>
    <mergeCell ref="C114:F114"/>
    <mergeCell ref="C115:F115"/>
    <mergeCell ref="D99:F99"/>
    <mergeCell ref="D100:F100"/>
    <mergeCell ref="D101:F101"/>
    <mergeCell ref="D102:F102"/>
    <mergeCell ref="D103:F103"/>
    <mergeCell ref="D104:F104"/>
    <mergeCell ref="C83:F83"/>
    <mergeCell ref="C91:F91"/>
    <mergeCell ref="C92:F92"/>
    <mergeCell ref="C93:F93"/>
    <mergeCell ref="C94:F94"/>
    <mergeCell ref="D98:F98"/>
    <mergeCell ref="C95:F95"/>
    <mergeCell ref="C78:F78"/>
    <mergeCell ref="C79:F79"/>
    <mergeCell ref="C80:F80"/>
    <mergeCell ref="C81:F81"/>
    <mergeCell ref="C82:F82"/>
    <mergeCell ref="J76:N76"/>
    <mergeCell ref="C65:F65"/>
    <mergeCell ref="C66:F66"/>
    <mergeCell ref="C67:F67"/>
    <mergeCell ref="C68:F68"/>
    <mergeCell ref="C69:F69"/>
    <mergeCell ref="C70:F70"/>
    <mergeCell ref="C54:F54"/>
    <mergeCell ref="C55:F55"/>
    <mergeCell ref="C56:F56"/>
    <mergeCell ref="C62:F62"/>
    <mergeCell ref="C63:F63"/>
    <mergeCell ref="C64:F64"/>
    <mergeCell ref="C45:F45"/>
    <mergeCell ref="L45:L46"/>
    <mergeCell ref="C46:F46"/>
    <mergeCell ref="C47:F47"/>
    <mergeCell ref="G48:H48"/>
    <mergeCell ref="C53:F53"/>
    <mergeCell ref="D34:F34"/>
    <mergeCell ref="B38:J38"/>
    <mergeCell ref="C41:F41"/>
    <mergeCell ref="C42:F42"/>
    <mergeCell ref="C43:F43"/>
    <mergeCell ref="C44:F44"/>
    <mergeCell ref="D28:F28"/>
    <mergeCell ref="D29:F29"/>
    <mergeCell ref="D30:F30"/>
    <mergeCell ref="D31:F31"/>
    <mergeCell ref="D32:F32"/>
    <mergeCell ref="D33:F33"/>
    <mergeCell ref="C14:F14"/>
    <mergeCell ref="C15:F15"/>
    <mergeCell ref="D24:F24"/>
    <mergeCell ref="D25:F25"/>
    <mergeCell ref="D26:F26"/>
    <mergeCell ref="D27:F27"/>
    <mergeCell ref="B2:Q2"/>
    <mergeCell ref="F4:N4"/>
    <mergeCell ref="G8:J8"/>
    <mergeCell ref="C9:F9"/>
    <mergeCell ref="C10:F10"/>
    <mergeCell ref="G13:N13"/>
  </mergeCells>
  <pageMargins left="0.70866141732283472" right="0.70866141732283472" top="0.74803149606299213" bottom="0.74803149606299213" header="0.31496062992125984" footer="0.31496062992125984"/>
  <pageSetup paperSize="9" scale="55" fitToHeight="3" orientation="landscape" r:id="rId1"/>
  <rowBreaks count="2" manualBreakCount="2">
    <brk id="49" max="17" man="1"/>
    <brk id="10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UPC</vt:lpstr>
      <vt:lpstr>UPC genere</vt:lpstr>
      <vt:lpstr>'UPC genere'!Àrea_d'impressió</vt:lpstr>
    </vt:vector>
  </TitlesOfParts>
  <Company>UPCnet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UPCnet</cp:lastModifiedBy>
  <cp:lastPrinted>2009-10-16T11:17:15Z</cp:lastPrinted>
  <dcterms:created xsi:type="dcterms:W3CDTF">2009-09-09T08:02:17Z</dcterms:created>
  <dcterms:modified xsi:type="dcterms:W3CDTF">2009-10-16T11:17:18Z</dcterms:modified>
</cp:coreProperties>
</file>